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Vn4KsBVKMKWRNQN85tGH523t/uCRlaVGDc4LwiuWjlR42YcTOWws3x9WqDiZsW7BIQH/3VVtDc63fgQBmKI6EQ==" workbookSaltValue="0D8CpABLRZBdsCFq/0NMC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C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T14" i="12" s="1"/>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2" i="13"/>
  <c r="AW20" i="21"/>
  <c r="R14" i="12"/>
  <c r="R13" i="17"/>
  <c r="BD11" i="13"/>
  <c r="BF18" i="8"/>
  <c r="AN21" i="13"/>
  <c r="D20" i="12"/>
  <c r="ER21" i="8"/>
  <c r="N19" i="11"/>
  <c r="AE14" i="21"/>
  <c r="EL21" i="8"/>
  <c r="EQ21" i="8"/>
  <c r="EN21" i="8"/>
  <c r="K20" i="11"/>
  <c r="BA14" i="16"/>
  <c r="N10" i="11"/>
  <c r="N9" i="11"/>
  <c r="ES21" i="8"/>
  <c r="G20" i="12"/>
  <c r="AQ19" i="11"/>
  <c r="R8" i="9"/>
  <c r="X12" i="21" s="1"/>
  <c r="AK21" i="8"/>
  <c r="EP21" i="8"/>
  <c r="ER21" i="13"/>
  <c r="AL14" i="16"/>
  <c r="EP21" i="19"/>
  <c r="T9" i="11"/>
  <c r="BH11" i="16"/>
  <c r="BF13" i="11"/>
  <c r="BJ18" i="11"/>
  <c r="BH16" i="11"/>
  <c r="BF19" i="11"/>
  <c r="BH19" i="16"/>
  <c r="BJ19" i="11"/>
  <c r="P18" i="17"/>
  <c r="BL18" i="11"/>
  <c r="BK12" i="11"/>
  <c r="BF17" i="11"/>
  <c r="AO16" i="17"/>
  <c r="S18" i="16"/>
  <c r="BL12" i="11"/>
  <c r="S14" i="16"/>
  <c r="P14" i="16"/>
  <c r="Z14" i="17"/>
  <c r="F18" i="17"/>
  <c r="AQ18" i="17" s="1"/>
  <c r="K20" i="2"/>
  <c r="M14" i="2"/>
  <c r="N14" i="2"/>
  <c r="F14" i="7"/>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7" i="20"/>
  <c r="BW12" i="20"/>
  <c r="BV16" i="16"/>
  <c r="BV11" i="16"/>
  <c r="U13" i="17"/>
  <c r="BW16" i="20"/>
  <c r="BW11" i="20"/>
  <c r="BU9" i="17"/>
  <c r="U10" i="17"/>
  <c r="BU19" i="17"/>
  <c r="BV10" i="16"/>
  <c r="BW10" i="20"/>
  <c r="BU18" i="17"/>
  <c r="BU13" i="17"/>
  <c r="V12" i="16"/>
  <c r="S11" i="17"/>
  <c r="BU17" i="17"/>
  <c r="BU12" i="17"/>
  <c r="BV9" i="16"/>
  <c r="AA17" i="16"/>
  <c r="T14" i="16"/>
  <c r="AZ17" i="11"/>
  <c r="AA16" i="16"/>
  <c r="AZ12" i="11"/>
  <c r="S11" i="14"/>
  <c r="V11" i="14" s="1"/>
  <c r="AZ11" i="11"/>
  <c r="T17" i="11"/>
  <c r="X18" i="17"/>
  <c r="BG12" i="11"/>
  <c r="S16" i="16"/>
  <c r="Q18" i="17"/>
  <c r="P16" i="17"/>
  <c r="BH10" i="11"/>
  <c r="BF12" i="11"/>
  <c r="BI9" i="11"/>
  <c r="BL16" i="11"/>
  <c r="AQ10" i="21"/>
  <c r="BL10" i="11"/>
  <c r="S10" i="17"/>
  <c r="BJ10" i="11"/>
  <c r="BH10" i="16"/>
  <c r="BK17" i="11"/>
  <c r="Q16" i="17"/>
  <c r="BH11" i="11"/>
  <c r="BM18" i="11"/>
  <c r="BG17" i="11"/>
  <c r="BF16" i="11"/>
  <c r="S18" i="17"/>
  <c r="BH17" i="11"/>
  <c r="BM9" i="11"/>
  <c r="AQ12" i="21"/>
  <c r="BH12" i="16"/>
  <c r="BJ17" i="11"/>
  <c r="BK10" i="11"/>
  <c r="BL17" i="11"/>
  <c r="AY20" i="8"/>
  <c r="BF16" i="8"/>
  <c r="AY14" i="8"/>
  <c r="BD9" i="8"/>
  <c r="BE9" i="8"/>
  <c r="S16" i="17"/>
  <c r="E14" i="17"/>
  <c r="AH14" i="16"/>
  <c r="S17" i="17"/>
  <c r="L12" i="2"/>
  <c r="L17" i="2"/>
  <c r="X19" i="16"/>
  <c r="L13" i="2"/>
  <c r="L18" i="2"/>
  <c r="X10" i="21"/>
  <c r="L19" i="2"/>
  <c r="X16" i="16"/>
  <c r="X20" i="16" s="1"/>
  <c r="U9" i="17"/>
  <c r="U21" i="17" s="1"/>
  <c r="V10" i="16"/>
  <c r="L9" i="2"/>
  <c r="T14" i="20"/>
  <c r="V9" i="16"/>
  <c r="X13" i="16"/>
  <c r="T20" i="17"/>
  <c r="BG16" i="13"/>
  <c r="BB20" i="13"/>
  <c r="BE17" i="13"/>
  <c r="BF17" i="13"/>
  <c r="K22" i="20"/>
  <c r="Y22" i="20"/>
  <c r="AC22" i="20"/>
  <c r="AA22" i="20"/>
  <c r="U12" i="11"/>
  <c r="AQ22" i="21"/>
  <c r="U17" i="11"/>
  <c r="AQ22" i="20"/>
  <c r="G14" i="14"/>
  <c r="W22" i="20"/>
  <c r="U10" i="11"/>
  <c r="W22" i="21"/>
  <c r="AF22" i="20"/>
  <c r="U18" i="11"/>
  <c r="AL22" i="20"/>
  <c r="AE22" i="20"/>
  <c r="AG22" i="20"/>
  <c r="L22" i="20"/>
  <c r="M22" i="20"/>
  <c r="N22" i="20"/>
  <c r="AE21" i="8" l="1"/>
  <c r="H12" i="2"/>
  <c r="R21" i="8"/>
  <c r="BG10" i="8"/>
  <c r="K10" i="7" s="1"/>
  <c r="F13" i="2"/>
  <c r="M20" i="2"/>
  <c r="N20" i="2"/>
  <c r="BV17" i="16"/>
  <c r="BW13" i="20"/>
  <c r="BV13" i="16"/>
  <c r="BW9" i="20"/>
  <c r="BV19" i="16"/>
  <c r="BU16" i="17"/>
  <c r="T16" i="16"/>
  <c r="T18" i="16"/>
  <c r="BM16" i="11"/>
  <c r="BG19" i="11"/>
  <c r="BL13" i="11"/>
  <c r="AQ14" i="21"/>
  <c r="BL11" i="11"/>
  <c r="BG16" i="11"/>
  <c r="AP16" i="20"/>
  <c r="BJ12" i="11"/>
  <c r="BM13" i="11"/>
  <c r="BI19" i="11"/>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V16" i="11"/>
  <c r="BF11" i="11"/>
  <c r="BG16" i="8"/>
  <c r="K16" i="7" s="1"/>
  <c r="AL16" i="11"/>
  <c r="BD16" i="13"/>
  <c r="BG17" i="13"/>
  <c r="BE16" i="13"/>
  <c r="BF16" i="13"/>
  <c r="BD17" i="13"/>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BL9" i="11"/>
  <c r="BL19" i="11"/>
  <c r="BH9" i="16"/>
  <c r="AP17" i="20"/>
  <c r="S13" i="17"/>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I10" i="7" s="1"/>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AM21" i="21" s="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H22" i="17"/>
  <c r="J22" i="20"/>
  <c r="S22" i="20"/>
  <c r="AW22" i="11"/>
  <c r="AV22" i="21"/>
  <c r="I22" i="20"/>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1" i="8" s="1"/>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M21" i="11" l="1"/>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<sst xmlns="http://schemas.openxmlformats.org/spreadsheetml/2006/main" count="2229" uniqueCount="979">
  <si>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</si>
  <si>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</si>
  <si>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</si>
  <si>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</si>
  <si>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</si>
  <si>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</si>
  <si>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</si>
  <si>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</si>
  <si>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</si>
  <si>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</si>
  <si>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</si>
  <si>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</si>
  <si>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</si>
  <si>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</si>
  <si>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</si>
  <si>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</si>
  <si>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</si>
  <si>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</si>
  <si>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</si>
  <si>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</si>
  <si>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</si>
  <si>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</si>
  <si>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</si>
  <si>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</si>
  <si>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</si>
  <si>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</si>
  <si>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</si>
  <si>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</si>
  <si>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</si>
  <si>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</si>
  <si>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</si>
  <si>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</si>
  <si>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</si>
  <si>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</si>
  <si>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</si>
  <si>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</si>
  <si>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</si>
  <si>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</si>
  <si>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</si>
  <si>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</si>
  <si>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</si>
  <si>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</si>
  <si>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</si>
  <si>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</si>
  <si>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</si>
  <si>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</si>
  <si>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</si>
  <si>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</si>
  <si>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</si>
  <si>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</si>
  <si>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</si>
  <si>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</si>
  <si>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</si>
  <si>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</si>
  <si>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</si>
  <si>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</si>
  <si>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</si>
  <si>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</si>
  <si>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</si>
  <si>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</si>
  <si>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</si>
  <si>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</si>
  <si>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</si>
  <si>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</si>
  <si>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</si>
  <si>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</si>
  <si>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</si>
  <si>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</si>
  <si>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</si>
  <si>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</si>
  <si>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</si>
  <si>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</si>
  <si>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</si>
  <si>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</si>
  <si>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</si>
  <si>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</si>
  <si>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</si>
  <si>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</si>
  <si>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</si>
  <si>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</si>
  <si>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</si>
  <si>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</si>
  <si>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</si>
  <si>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</si>
  <si>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</si>
  <si>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</si>
  <si>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</si>
  <si>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</si>
  <si>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</si>
  <si>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</si>
  <si>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</si>
  <si>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</si>
  <si>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</si>
  <si>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</si>
  <si>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</si>
  <si>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</si>
  <si>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</si>
  <si>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</si>
  <si>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</si>
  <si>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</si>
  <si>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</si>
  <si>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</si>
  <si>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</si>
  <si>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</si>
  <si>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</si>
  <si>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</si>
  <si>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</si>
  <si>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</si>
  <si>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</si>
  <si>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</si>
  <si>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</si>
  <si>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</si>
  <si>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</si>
  <si>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</si>
  <si>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</si>
  <si>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</si>
  <si>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</si>
  <si>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</si>
  <si>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</si>
  <si>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</si>
  <si>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</si>
  <si>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</si>
  <si>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</si>
  <si>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</si>
  <si>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</si>
  <si>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</si>
  <si>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</si>
  <si>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</si>
  <si>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</si>
  <si>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</si>
  <si>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</si>
  <si>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</si>
  <si>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</si>
  <si>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</si>
  <si>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</si>
  <si>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</si>
  <si>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</si>
  <si>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</si>
  <si>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</si>
  <si>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</si>
  <si>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</si>
  <si>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</si>
  <si>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</si>
  <si>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</si>
  <si>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</si>
  <si>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</si>
  <si>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</si>
  <si>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</si>
  <si>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</si>
  <si>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</si>
  <si>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</si>
  <si>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</si>
  <si>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</si>
  <si>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</si>
  <si>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</si>
  <si>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</si>
  <si>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</si>
  <si>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</si>
  <si>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</si>
  <si>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</si>
  <si>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</si>
  <si>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</si>
  <si>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</si>
  <si>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</si>
  <si>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</si>
  <si>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</si>
  <si>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</si>
  <si>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</si>
  <si>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</si>
  <si>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</si>
  <si>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</si>
  <si>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</si>
  <si>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</si>
  <si>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</si>
  <si>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</si>
  <si>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</si>
  <si>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</si>
  <si>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</si>
  <si>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</si>
  <si>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</si>
  <si>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</si>
  <si>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</si>
  <si>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</si>
  <si>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</si>
  <si>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</si>
  <si>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</si>
  <si>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</si>
  <si>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</si>
  <si>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</si>
  <si>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</si>
  <si>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</si>
  <si>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</si>
  <si>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</si>
  <si>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</si>
  <si>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</si>
  <si>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</si>
  <si>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</si>
  <si>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</si>
  <si>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</si>
  <si>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</si>
  <si>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</si>
  <si>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</si>
  <si>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</si>
  <si>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</si>
  <si>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</si>
  <si>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</si>
  <si>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</si>
  <si>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</si>
  <si>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</si>
  <si>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</si>
  <si>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</si>
  <si>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</si>
  <si>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</si>
  <si>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</si>
  <si>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</si>
  <si>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</si>
  <si>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</si>
  <si>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</si>
  <si>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</si>
  <si>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</si>
  <si>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</si>
  <si>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</si>
  <si>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</si>
  <si>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</si>
  <si>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</si>
  <si>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</si>
  <si>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</si>
  <si>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</si>
  <si>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</si>
  <si>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</si>
  <si>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</si>
  <si>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</si>
  <si>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</si>
  <si>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</si>
  <si>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</si>
  <si>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</si>
  <si>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</si>
  <si>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</si>
  <si>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</si>
  <si>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</si>
  <si>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</si>
  <si>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</si>
  <si>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</si>
  <si>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</si>
  <si>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</si>
  <si>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</si>
  <si>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</si>
  <si>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</si>
  <si>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</si>
  <si>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</si>
  <si>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</si>
  <si>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</si>
  <si>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</si>
  <si>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</si>
  <si>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</si>
  <si>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</si>
  <si>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</si>
  <si>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</si>
  <si>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</si>
  <si>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</si>
  <si>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</si>
  <si>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</si>
  <si>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</si>
  <si>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</si>
  <si>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</si>
  <si>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</si>
  <si>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</si>
  <si>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</si>
  <si>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</si>
  <si>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</si>
  <si>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</si>
  <si>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</si>
  <si>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</si>
  <si>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</si>
  <si>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</si>
  <si>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</si>
  <si>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</si>
  <si>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</si>
  <si>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</si>
  <si>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</si>
  <si>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</si>
  <si>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</si>
  <si>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</si>
  <si>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</si>
  <si>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</si>
  <si>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</si>
  <si>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</si>
  <si>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</si>
  <si>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</si>
  <si>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</si>
  <si>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</si>
  <si>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</si>
  <si>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</si>
  <si>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</si>
  <si>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</si>
  <si>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</si>
  <si>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</si>
  <si>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</si>
  <si>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</si>
  <si>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</si>
  <si>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</si>
  <si>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</si>
  <si>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</si>
  <si>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</si>
  <si>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</si>
  <si>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</si>
  <si>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</si>
  <si>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</si>
  <si>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</si>
  <si>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</si>
  <si>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</si>
  <si>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</si>
  <si>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</si>
  <si>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</si>
  <si>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</si>
  <si>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</si>
  <si>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</si>
  <si>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</si>
  <si>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</si>
  <si>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</si>
  <si>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</si>
  <si>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</si>
  <si>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</si>
  <si>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</si>
  <si>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</si>
  <si>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</si>
  <si>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</si>
  <si>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</si>
  <si>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</si>
  <si>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</si>
  <si>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</si>
  <si>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</si>
  <si>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</si>
  <si>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</si>
  <si>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</si>
  <si>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</si>
  <si>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</si>
  <si>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</si>
  <si>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</si>
  <si>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</si>
  <si>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</si>
  <si>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</si>
  <si>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</si>
  <si>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</si>
  <si>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</si>
  <si>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</si>
  <si>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</si>
  <si>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</si>
  <si>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</si>
  <si>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</si>
  <si>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</si>
  <si>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</si>
  <si>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</si>
  <si>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</si>
  <si>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</si>
  <si>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</si>
  <si>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</si>
  <si>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</si>
  <si>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</si>
  <si>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</si>
  <si>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</si>
  <si>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</si>
  <si>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</si>
  <si>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</si>
  <si>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</si>
  <si>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</si>
  <si>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</si>
  <si>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</si>
  <si>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</si>
  <si>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</si>
  <si>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</si>
  <si>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</si>
  <si>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</si>
  <si>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</si>
  <si>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</si>
  <si>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</si>
  <si>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</si>
  <si>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</si>
  <si>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</si>
  <si>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</si>
  <si>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</si>
  <si>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</si>
  <si>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</si>
  <si>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</si>
  <si>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</si>
  <si>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</si>
  <si>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</si>
  <si>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</si>
  <si>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</si>
  <si>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</si>
  <si>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</si>
  <si>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</si>
  <si>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</si>
  <si>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</si>
  <si>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</si>
  <si>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</si>
  <si>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</si>
  <si>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</si>
  <si>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</si>
  <si>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</si>
  <si>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</si>
  <si>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</si>
  <si>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</si>
  <si>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</si>
  <si>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</si>
  <si>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</si>
  <si>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</si>
  <si>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</si>
  <si>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</si>
  <si>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</si>
  <si>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</si>
  <si>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</si>
  <si>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</si>
  <si>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</si>
  <si>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</si>
  <si>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</si>
  <si>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</si>
  <si>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</si>
  <si>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</si>
  <si>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</si>
  <si>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</si>
  <si>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</si>
  <si>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</si>
  <si>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</si>
  <si>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</si>
  <si>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</si>
  <si>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</si>
  <si>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</si>
  <si>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</si>
  <si>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</si>
  <si>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</si>
  <si>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</si>
  <si>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</si>
  <si>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</si>
  <si>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</si>
  <si>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</si>
  <si>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</si>
  <si>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</si>
  <si>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</si>
  <si>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</si>
  <si>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</si>
  <si>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</si>
  <si>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</si>
  <si>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</si>
  <si>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</si>
  <si>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</si>
  <si>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</si>
  <si>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</si>
  <si>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</si>
  <si>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</si>
  <si>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</si>
  <si>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</si>
  <si>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</si>
  <si>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</si>
  <si>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</si>
  <si>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</si>
  <si>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</si>
  <si>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</si>
  <si>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</si>
  <si>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</si>
  <si>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</si>
  <si>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</si>
  <si>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</si>
  <si>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</si>
  <si>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</si>
  <si>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</si>
  <si>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</si>
  <si>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</si>
  <si>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</si>
  <si>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</si>
  <si>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</si>
  <si>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</si>
  <si>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</si>
  <si>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</si>
  <si>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</si>
  <si>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</si>
  <si>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</si>
  <si>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</si>
  <si>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</si>
  <si>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</si>
  <si>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</si>
  <si>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</si>
  <si>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</si>
  <si>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</si>
  <si>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</si>
  <si>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</si>
  <si>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</si>
  <si>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</si>
  <si>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</si>
  <si>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</si>
  <si>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</si>
  <si>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</si>
  <si>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</si>
  <si>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</si>
  <si>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</si>
  <si>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</si>
  <si>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</si>
  <si>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</si>
  <si>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</si>
  <si>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</si>
  <si>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</si>
  <si>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</si>
  <si>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</si>
  <si>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</si>
  <si>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</si>
  <si>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</si>
  <si>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</si>
  <si>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</si>
  <si>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</si>
  <si>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</si>
  <si>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</si>
  <si>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</si>
  <si>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</si>
  <si>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</si>
  <si>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</si>
  <si>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</si>
  <si>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</si>
  <si>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</si>
  <si>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</si>
  <si>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</si>
  <si>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</si>
  <si>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</si>
  <si>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</si>
  <si>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</si>
  <si>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</si>
  <si>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</si>
  <si>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</si>
  <si>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</si>
  <si>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</si>
  <si>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</si>
  <si>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</si>
  <si>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</si>
  <si>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</si>
  <si>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</si>
  <si>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</si>
  <si>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</si>
  <si>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</si>
  <si>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</si>
  <si>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</si>
  <si>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</si>
  <si>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</si>
  <si>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</si>
  <si>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</si>
  <si>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</si>
  <si>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</si>
  <si>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</si>
  <si>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</si>
  <si>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</si>
  <si>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</si>
  <si>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</si>
  <si>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</si>
  <si>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</si>
  <si>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</si>
  <si>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</si>
  <si>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</si>
  <si>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</si>
  <si>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</si>
  <si>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</si>
  <si>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</si>
  <si>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</si>
  <si>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</si>
  <si>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</si>
  <si>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</si>
  <si>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</si>
  <si>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</si>
  <si>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</si>
  <si>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</si>
  <si>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</si>
  <si>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</si>
  <si>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</si>
  <si>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</si>
  <si>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</si>
  <si>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</si>
  <si>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</si>
  <si>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</si>
  <si>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</si>
  <si>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</si>
  <si>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</si>
  <si>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</si>
  <si>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</si>
  <si>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</si>
  <si>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</si>
  <si>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</si>
  <si>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</si>
  <si>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</si>
  <si>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</si>
  <si>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</si>
  <si>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</si>
  <si>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</si>
  <si>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</si>
  <si>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</si>
  <si>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</si>
  <si>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</si>
  <si>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</si>
  <si>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</si>
  <si>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</si>
  <si>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</si>
  <si>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</si>
  <si>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</si>
  <si>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</si>
  <si>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</si>
  <si>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</si>
  <si>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</si>
  <si>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</si>
  <si>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</si>
  <si>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</si>
  <si>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</si>
  <si>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</si>
  <si>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</si>
  <si>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</si>
  <si>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</si>
  <si>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</si>
  <si>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</si>
  <si>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</si>
  <si>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</si>
  <si>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</si>
  <si>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</si>
  <si>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</si>
  <si>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</si>
  <si>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</si>
  <si>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</si>
  <si>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</si>
  <si>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</si>
  <si>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</si>
  <si>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</si>
  <si>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</si>
  <si>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</si>
  <si>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</si>
  <si>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</si>
  <si>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</si>
  <si>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</si>
  <si>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</si>
  <si>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</si>
  <si>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</si>
  <si>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</si>
  <si>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</si>
  <si>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</si>
  <si>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</si>
  <si>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</si>
  <si>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</si>
  <si>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</si>
  <si>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</si>
  <si>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</si>
  <si>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</si>
  <si>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</si>
  <si>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</si>
  <si>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</si>
  <si>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</si>
  <si>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</si>
  <si>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</si>
  <si>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</si>
  <si>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</si>
  <si>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</si>
  <si>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</si>
  <si>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</si>
  <si>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</si>
  <si>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</si>
  <si>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</si>
  <si>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</si>
  <si>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</si>
  <si>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</si>
  <si>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</si>
  <si>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</si>
  <si>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</si>
  <si>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</si>
  <si>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</si>
  <si>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</si>
  <si>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</si>
  <si>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</si>
  <si>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</si>
  <si>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</si>
  <si>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</si>
  <si>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</si>
  <si>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</si>
  <si>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</si>
  <si>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</si>
  <si>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</si>
  <si>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</si>
  <si>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</si>
  <si>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</si>
  <si>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</si>
  <si>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</si>
  <si>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</si>
  <si>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</si>
  <si>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</si>
  <si>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</si>
  <si>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</si>
  <si>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</si>
  <si>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</si>
  <si>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</si>
  <si>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</si>
  <si>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</si>
  <si>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</si>
  <si>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</si>
  <si>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</si>
  <si>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</si>
  <si>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</si>
  <si>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</si>
  <si>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</si>
  <si>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</si>
  <si>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</si>
  <si>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</si>
  <si>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</si>
  <si>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</si>
  <si>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</si>
  <si>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</si>
  <si>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</si>
  <si>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</si>
  <si>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</si>
  <si>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</si>
  <si>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</si>
  <si>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</si>
  <si>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</si>
  <si>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</si>
  <si>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</si>
  <si>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</si>
  <si>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</si>
  <si>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</si>
  <si>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</si>
  <si>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</si>
  <si>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</si>
  <si>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</si>
  <si>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</si>
  <si>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</si>
  <si>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</si>
  <si>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</si>
  <si>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</si>
  <si>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</si>
  <si>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</si>
  <si>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</si>
  <si>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</si>
  <si>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</si>
  <si>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</si>
  <si>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</si>
  <si>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</si>
  <si>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</si>
  <si>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</si>
  <si>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</si>
  <si>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</si>
  <si>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</si>
  <si>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</si>
  <si>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</si>
  <si>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</si>
  <si>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</si>
  <si>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</si>
  <si>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</si>
  <si>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</si>
  <si>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</si>
  <si>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</si>
  <si>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</si>
  <si>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</si>
  <si>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</si>
  <si>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</si>
  <si>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</si>
  <si>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</si>
  <si>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</si>
  <si>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</si>
  <si>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</si>
  <si>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</si>
  <si>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</si>
  <si>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</si>
  <si>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</si>
  <si>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</si>
  <si>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</si>
  <si>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</si>
  <si>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</si>
  <si>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</si>
  <si>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</si>
  <si>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</si>
  <si>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</si>
  <si>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</si>
  <si>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</si>
  <si>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</si>
  <si>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</si>
  <si>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</si>
  <si>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</si>
  <si>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</si>
  <si>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</si>
  <si>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</si>
  <si>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</si>
  <si>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</si>
  <si>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</si>
  <si>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</si>
  <si>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</si>
  <si>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</si>
  <si>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</si>
  <si>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</si>
  <si>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</si>
  <si>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</si>
  <si>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</si>
  <si>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</si>
  <si>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</si>
  <si>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</si>
  <si>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</si>
  <si>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</si>
  <si>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</si>
  <si>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</si>
  <si>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</si>
  <si>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</si>
  <si>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</si>
  <si>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</si>
  <si>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</si>
  <si>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</si>
  <si>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</si>
  <si>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</si>
  <si>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</si>
  <si>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</si>
  <si>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</si>
  <si>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</si>
  <si>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</si>
  <si>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</si>
  <si>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</si>
  <si>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</si>
  <si>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</si>
  <si>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</si>
  <si>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</si>
  <si>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</si>
  <si>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</si>
  <si>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</si>
  <si>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</si>
  <si>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</si>
  <si>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</si>
  <si>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</si>
  <si>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</si>
  <si>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</si>
  <si>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</si>
  <si>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</si>
  <si>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</si>
  <si>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</si>
  <si>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</si>
  <si>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</si>
  <si>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</si>
  <si>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</si>
  <si>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</si>
  <si>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</si>
  <si>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</si>
  <si>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</si>
  <si>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</si>
  <si>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</si>
  <si>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</si>
  <si>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</si>
  <si>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</si>
  <si>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</si>
  <si>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</si>
  <si>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</si>
  <si>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</si>
  <si>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</si>
  <si>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</si>
  <si>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</si>
  <si>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</si>
  <si>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</si>
  <si>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</si>
  <si>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</si>
  <si>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</si>
  <si>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</si>
  <si>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</si>
  <si>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</si>
  <si>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</si>
  <si>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</si>
  <si>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</si>
  <si>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</si>
  <si>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</si>
  <si>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</si>
  <si>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</si>
  <si>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</si>
  <si>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</si>
  <si>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</si>
  <si>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</si>
  <si>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</si>
  <si>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</si>
  <si>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</si>
  <si>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</si>
  <si>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</si>
  <si>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</si>
  <si>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</si>
  <si>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</si>
  <si>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</si>
  <si>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</si>
  <si>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</si>
  <si>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</si>
  <si>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</si>
  <si>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</si>
  <si>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</si>
  <si>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</si>
  <si>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</si>
  <si>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</si>
  <si>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</si>
  <si>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</si>
  <si>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</si>
  <si>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</si>
  <si>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</si>
  <si>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</si>
  <si>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</si>
  <si>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</si>
  <si>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</si>
  <si>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</si>
  <si>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</si>
  <si>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</si>
  <si>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</si>
  <si>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</si>
  <si>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</si>
  <si>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</si>
  <si>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</si>
  <si>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</si>
  <si>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</si>
  <si>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</si>
  <si>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</si>
  <si>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</si>
  <si>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</si>
  <si>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</si>
  <si>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</si>
  <si>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</si>
  <si>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</si>
  <si>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</si>
  <si>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</si>
  <si>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</si>
  <si>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</si>
  <si>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</si>
  <si>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</si>
  <si>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</si>
  <si>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</si>
  <si>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</si>
  <si>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</si>
  <si>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</si>
  <si>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</si>
  <si>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</si>
  <si>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</si>
  <si>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</si>
  <si>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</si>
  <si>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</si>
  <si>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</si>
  <si>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</si>
  <si>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</si>
  <si>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</si>
  <si>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</si>
  <si>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</si>
  <si>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</si>
  <si>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</si>
  <si>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</si>
  <si>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</si>
  <si>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</si>
  <si>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</si>
  <si>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</si>
  <si>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</si>
  <si>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</si>
  <si>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</si>
  <si>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</si>
  <si>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</si>
  <si>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</si>
  <si>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</si>
  <si>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</si>
  <si>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</si>
  <si>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</si>
  <si>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</si>
  <si>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</si>
  <si>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</si>
  <si>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</si>
  <si>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</si>
  <si>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</si>
  <si>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</si>
  <si>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</si>
  <si>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</si>
  <si>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</si>
  <si>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</si>
  <si>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</si>
  <si>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</si>
  <si>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</si>
  <si>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</si>
  <si>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</si>
  <si>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</si>
  <si>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</si>
  <si>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</si>
  <si>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</si>
  <si>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</si>
  <si>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</si>
  <si>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</si>
  <si>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</si>
  <si>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</si>
  <si>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MARTORELL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</si>
</sst>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q429um2pVG6XcFhzX8xLJi+l4z6yAFA24lMPX4dHaLLfOQ3mMk71FSmcMdRbhRqSTedPSvs3NjQ/ITuR4wZYeQ==" saltValue="D9m0JO4eFfxTxF7UYxzd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MARTORELL</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122</v>
      </c>
      <c r="D10" s="416">
        <f>IF(ISNUMBER(C10/Datos!BH10),C10/Datos!BH10," - ")</f>
        <v>122</v>
      </c>
      <c r="E10" s="415">
        <f>IF(ISNUMBER(Datos!J10),Datos!J10," - ")</f>
        <v>10</v>
      </c>
      <c r="F10" s="416">
        <f>IF(ISNUMBER(E10/B10),E10/B10," - ")</f>
        <v>10</v>
      </c>
      <c r="G10" s="415">
        <f>IF(ISNUMBER(Datos!K10),Datos!K10," - ")</f>
        <v>9</v>
      </c>
      <c r="H10" s="416">
        <f>IF(ISNUMBER(G10/B10),G10/B10," - ")</f>
        <v>9</v>
      </c>
      <c r="I10" s="415">
        <f>IF(ISNUMBER(Datos!L10),Datos!L10," - ")</f>
        <v>123</v>
      </c>
      <c r="J10" s="416">
        <f>IF(ISNUMBER(I10/B10),I10/B10," - ")</f>
        <v>123</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7</v>
      </c>
      <c r="C12" s="415">
        <f>IF(ISNUMBER(IF(J_V="SI",Datos!I12,Datos!I12+Datos!Y12)),IF(J_V="SI",Datos!I12,Datos!I12+Datos!Y12)," - ")</f>
        <v>6072</v>
      </c>
      <c r="D12" s="416">
        <f>IF(ISNUMBER(C12/Datos!BH12),C12/Datos!BH12," - ")</f>
        <v>867.42857142857144</v>
      </c>
      <c r="E12" s="415">
        <f>IF(ISNUMBER(IF(J_V="SI",Datos!J12,Datos!J12+Datos!Z12)),IF(J_V="SI",Datos!J12,Datos!J12+Datos!Z12)," - ")</f>
        <v>2117</v>
      </c>
      <c r="F12" s="416">
        <f>IF(ISNUMBER(E12/B12),E12/B12," - ")</f>
        <v>302.42857142857144</v>
      </c>
      <c r="G12" s="415">
        <f>IF(ISNUMBER(IF(J_V="SI",Datos!K12,Datos!K12+Datos!AA12)),IF(J_V="SI",Datos!K12,Datos!K12+Datos!AA12)," - ")</f>
        <v>1790</v>
      </c>
      <c r="H12" s="416">
        <f>IF(ISNUMBER(G12/B12),G12/B12," - ")</f>
        <v>255.71428571428572</v>
      </c>
      <c r="I12" s="415">
        <f>IF(ISNUMBER(IF(J_V="SI",Datos!L12,Datos!L12+Datos!AB12)),IF(J_V="SI",Datos!L12,Datos!L12+Datos!AB12)," - ")</f>
        <v>6399</v>
      </c>
      <c r="J12" s="416">
        <f>IF(ISNUMBER(I12/B12),I12/B12," - ")</f>
        <v>914.14285714285711</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7</v>
      </c>
      <c r="C14" s="996">
        <f>SUBTOTAL(9,C8:C13)</f>
        <v>6194</v>
      </c>
      <c r="D14" s="997" t="str">
        <f>IF(ISNUMBER(C14/Datos!BI14),C14/Datos!BI14," - ")</f>
        <v xml:space="preserve"> - </v>
      </c>
      <c r="E14" s="996">
        <f>SUBTOTAL(9,E8:E13)</f>
        <v>2127</v>
      </c>
      <c r="F14" s="997">
        <f>IF(ISNUMBER(E14/B14),E14/B14," - ")</f>
        <v>303.85714285714283</v>
      </c>
      <c r="G14" s="996">
        <f>SUBTOTAL(9,G8:G13)</f>
        <v>1799</v>
      </c>
      <c r="H14" s="997">
        <f>IF(ISNUMBER(G14/B14),G14/B14," - ")</f>
        <v>257</v>
      </c>
      <c r="I14" s="996">
        <f>SUBTOTAL(9,I8:I13)</f>
        <v>6522</v>
      </c>
      <c r="J14" s="997">
        <f>IF(ISNUMBER(I14/B14),I14/B14," - ")</f>
        <v>931.71428571428567</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7</v>
      </c>
      <c r="C17" s="415">
        <f>IF(ISNUMBER(IF(D_I="SI",Datos!I17,Datos!I17+Datos!AC17)),IF(D_I="SI",Datos!I17,Datos!I17+Datos!AC17)," - ")</f>
        <v>1787</v>
      </c>
      <c r="D17" s="416">
        <f>IF(ISNUMBER(C17/Datos!BH17),C17/Datos!BH17," - ")</f>
        <v>255.28571428571428</v>
      </c>
      <c r="E17" s="415">
        <f>IF(ISNUMBER(IF(D_I="SI",Datos!J17,Datos!J17+Datos!AD17)),IF(D_I="SI",Datos!J17,Datos!J17+Datos!AD17)," - ")</f>
        <v>1693</v>
      </c>
      <c r="F17" s="416">
        <f>IF(ISNUMBER(E17/B17),E17/B17," - ")</f>
        <v>241.85714285714286</v>
      </c>
      <c r="G17" s="415">
        <f>IF(ISNUMBER(IF(D_I="SI",Datos!K17,Datos!K17+Datos!AE17)),IF(D_I="SI",Datos!K17,Datos!K17+Datos!AE17)," - ")</f>
        <v>1674</v>
      </c>
      <c r="H17" s="416">
        <f>IF(ISNUMBER(G17/B17),G17/B17," - ")</f>
        <v>239.14285714285714</v>
      </c>
      <c r="I17" s="415">
        <f>IF(ISNUMBER(IF(D_I="SI",Datos!L17,Datos!L17+Datos!AF17)),IF(D_I="SI",Datos!L17,Datos!L17+Datos!AF17)," - ")</f>
        <v>1839</v>
      </c>
      <c r="J17" s="416">
        <f>IF(ISNUMBER(I17/B17),I17/B17," - ")</f>
        <v>262.71428571428572</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238</v>
      </c>
      <c r="D18" s="416">
        <f>IF(ISNUMBER(C18/Datos!BH18),C18/Datos!BH18," - ")</f>
        <v>238</v>
      </c>
      <c r="E18" s="415">
        <f>IF(ISNUMBER(IF(D_I="SI",Datos!J18,Datos!J18+Datos!AD18)),IF(D_I="SI",Datos!J18,Datos!J18+Datos!AD18)," - ")</f>
        <v>63</v>
      </c>
      <c r="F18" s="416">
        <f>IF(ISNUMBER(E18/B18),E18/B18," - ")</f>
        <v>63</v>
      </c>
      <c r="G18" s="415">
        <f>IF(ISNUMBER(IF(D_I="SI",Datos!K18,Datos!K18+Datos!AE18)),IF(D_I="SI",Datos!K18,Datos!K18+Datos!AE18)," - ")</f>
        <v>51</v>
      </c>
      <c r="H18" s="416">
        <f>IF(ISNUMBER(G18/B18),G18/B18," - ")</f>
        <v>51</v>
      </c>
      <c r="I18" s="415">
        <f>IF(ISNUMBER(IF(D_I="SI",Datos!L18,Datos!L18+Datos!AF18)),IF(D_I="SI",Datos!L18,Datos!L18+Datos!AF18)," - ")</f>
        <v>250</v>
      </c>
      <c r="J18" s="416">
        <f>IF(ISNUMBER(I18/B18),I18/B18," - ")</f>
        <v>250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7</v>
      </c>
      <c r="C20" s="996">
        <f>SUBTOTAL(9,C15:C19)</f>
        <v>2025</v>
      </c>
      <c r="D20" s="997" t="str">
        <f>IF(ISNUMBER(C20/Datos!BI20),C20/Datos!BI20," - ")</f>
        <v xml:space="preserve"> - </v>
      </c>
      <c r="E20" s="996">
        <f>SUBTOTAL(9,E15:E19)</f>
        <v>1756</v>
      </c>
      <c r="F20" s="997">
        <f>IF(ISNUMBER(E20/B20),E20/B20," - ")</f>
        <v>250.85714285714286</v>
      </c>
      <c r="G20" s="996">
        <f>SUBTOTAL(9,G15:G19)</f>
        <v>1725</v>
      </c>
      <c r="H20" s="997">
        <f>IF(ISNUMBER(G20/B20),G20/B20," - ")</f>
        <v>246.42857142857142</v>
      </c>
      <c r="I20" s="996">
        <f>SUBTOTAL(9,I15:I19)</f>
        <v>2089</v>
      </c>
      <c r="J20" s="997">
        <f>IF(ISNUMBER(I20/B20),I20/B20," - ")</f>
        <v>298.42857142857144</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7</v>
      </c>
      <c r="C21" s="941">
        <f>SUBTOTAL(9,C9:C20)</f>
        <v>8219</v>
      </c>
      <c r="D21" s="942" t="str">
        <f>IF(ISNUMBER(C21/Datos!BI21),C21/Datos!BI21," - ")</f>
        <v xml:space="preserve"> - </v>
      </c>
      <c r="E21" s="941">
        <f>SUBTOTAL(9,E9:E20)</f>
        <v>3883</v>
      </c>
      <c r="F21" s="942">
        <f>IF(ISNUMBER(E21/B21),E21/B21," - ")</f>
        <v>554.71428571428567</v>
      </c>
      <c r="G21" s="941">
        <f>SUBTOTAL(9,G9:G20)</f>
        <v>3524</v>
      </c>
      <c r="H21" s="942">
        <f>IF(ISNUMBER(G21/B21),G21/B21," - ")</f>
        <v>503.42857142857144</v>
      </c>
      <c r="I21" s="941">
        <f>SUBTOTAL(9,I9:I20)</f>
        <v>8611</v>
      </c>
      <c r="J21" s="942">
        <f>IF(ISNUMBER(I21/B21),I21/B21," - ")</f>
        <v>1230.1428571428571</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QucwcTR+E30jN9YPhmpGwFYM7UoQf/JhcM43N6L7DIQM+YVzFuc/I3dT5HAMliYrvJUbufbyqezNXXxr+EWQGg==" saltValue="nxA3eoR0GhITBzicpUyeP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MARTORELL</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7</v>
      </c>
      <c r="D12" s="415">
        <f>Datos!BK12</f>
        <v>0</v>
      </c>
      <c r="E12" s="415">
        <f>Datos!AQ12</f>
        <v>7</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7</v>
      </c>
      <c r="D17" s="415">
        <f>Datos!BK17</f>
        <v>0</v>
      </c>
      <c r="E17" s="415">
        <f>Datos!AQ17</f>
        <v>7</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Db+KSDlmuAmp5WcRXPUpBEOMAHaOopCC6ID8IOwKtOq5NLjptZz5C2F8Fs9e/6kWOre+84kdGQaOaoNUOwP6Cg==" saltValue="43fn0ErPaiwmAQuu1iLNq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MARTORELL</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5</v>
      </c>
      <c r="E10" s="416">
        <f>IF(ISNUMBER(D10/B10),D10/B10," - ")</f>
        <v>5</v>
      </c>
      <c r="F10" s="415">
        <f>IF(ISNUMBER(Datos!N10),Datos!N10," - ")</f>
        <v>0</v>
      </c>
      <c r="G10" s="416">
        <f>IF(ISNUMBER(F10/B10),F10/B10," - ")</f>
        <v>0</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7</v>
      </c>
      <c r="C12" s="422">
        <f>Datos!AQ12</f>
        <v>7</v>
      </c>
      <c r="D12" s="415">
        <f>IF(ISNUMBER(Datos!M12),Datos!M12," - ")</f>
        <v>273</v>
      </c>
      <c r="E12" s="416">
        <f t="shared" si="0"/>
        <v>39</v>
      </c>
      <c r="F12" s="415">
        <f>IF(ISNUMBER(Datos!N12),Datos!N12," - ")</f>
        <v>855</v>
      </c>
      <c r="G12" s="416">
        <f t="shared" si="1"/>
        <v>122.14285714285714</v>
      </c>
      <c r="H12" s="415">
        <f>IF(ISNUMBER(Datos!O12),Datos!O12," - ")</f>
        <v>704</v>
      </c>
      <c r="I12" s="416">
        <f t="shared" si="2"/>
        <v>100.57142857142857</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8</v>
      </c>
      <c r="C14" s="998">
        <f>Datos!AR14</f>
        <v>7</v>
      </c>
      <c r="D14" s="996">
        <f>SUBTOTAL(9,D9:D13)</f>
        <v>278</v>
      </c>
      <c r="E14" s="997">
        <f t="shared" si="0"/>
        <v>34.75</v>
      </c>
      <c r="F14" s="996">
        <f>SUBTOTAL(9,F9:F13)</f>
        <v>855</v>
      </c>
      <c r="G14" s="997">
        <f t="shared" si="1"/>
        <v>106.875</v>
      </c>
      <c r="H14" s="996">
        <f>SUBTOTAL(9,H9:H13)</f>
        <v>704</v>
      </c>
      <c r="I14" s="997">
        <f>IF(ISNUMBER(H14/B14),H14/B14," - ")</f>
        <v>88</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7</v>
      </c>
      <c r="C17" s="445">
        <f>Datos!AQ17</f>
        <v>7</v>
      </c>
      <c r="D17" s="415">
        <f>IF(ISNUMBER(Datos!M17),Datos!M17," - ")</f>
        <v>190</v>
      </c>
      <c r="E17" s="416">
        <f t="shared" si="3"/>
        <v>27.142857142857142</v>
      </c>
      <c r="F17" s="415">
        <f>IF(ISNUMBER(Datos!N17),Datos!N17," - ")</f>
        <v>1166</v>
      </c>
      <c r="G17" s="416">
        <f t="shared" si="4"/>
        <v>166.57142857142858</v>
      </c>
      <c r="H17" s="415">
        <f>IF(ISNUMBER(Datos!O17),Datos!O17," - ")</f>
        <v>17</v>
      </c>
      <c r="I17" s="416">
        <f t="shared" si="5"/>
        <v>2.4285714285714284</v>
      </c>
    </row>
    <row r="18" spans="1:9">
      <c r="A18" s="414" t="str">
        <f>Datos!A18</f>
        <v>Jdos. Violencia contra la mujer</v>
      </c>
      <c r="B18" s="444">
        <f>Datos!AO18</f>
        <v>1</v>
      </c>
      <c r="C18" s="445">
        <f>Datos!AQ18</f>
        <v>0</v>
      </c>
      <c r="D18" s="415">
        <f>IF(ISNUMBER(Datos!M18),Datos!M18," - ")</f>
        <v>11</v>
      </c>
      <c r="E18" s="416">
        <f>IF(ISNUMBER(D18/B18),D18/B18," - ")</f>
        <v>11</v>
      </c>
      <c r="F18" s="415">
        <f>IF(ISNUMBER(Datos!N18),Datos!N18," - ")</f>
        <v>39</v>
      </c>
      <c r="G18" s="416">
        <f>IF(ISNUMBER(F18/B18),F18/B18," - ")</f>
        <v>39</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8</v>
      </c>
      <c r="C20" s="998">
        <f>Datos!AR20</f>
        <v>7</v>
      </c>
      <c r="D20" s="996">
        <f>SUBTOTAL(9,D16:D19)</f>
        <v>201</v>
      </c>
      <c r="E20" s="997">
        <f t="shared" si="3"/>
        <v>25.125</v>
      </c>
      <c r="F20" s="996">
        <f>SUBTOTAL(9,F16:F19)</f>
        <v>1205</v>
      </c>
      <c r="G20" s="997">
        <f t="shared" si="4"/>
        <v>150.625</v>
      </c>
      <c r="H20" s="996">
        <f>SUBTOTAL(9,H16:H19)</f>
        <v>17</v>
      </c>
      <c r="I20" s="997">
        <f>IF(ISNUMBER(H20/B20),H20/B20," - ")</f>
        <v>2.125</v>
      </c>
    </row>
    <row r="21" spans="1:9" ht="14.25" thickTop="1" thickBot="1">
      <c r="A21" s="940" t="str">
        <f>Datos!A21</f>
        <v>TOTAL JURISDICCIONES</v>
      </c>
      <c r="B21" s="941">
        <f>Datos!AP21</f>
        <v>7</v>
      </c>
      <c r="C21" s="941">
        <f>Datos!AR21</f>
        <v>7</v>
      </c>
      <c r="D21" s="941">
        <f>SUBTOTAL(9,D8:D20)</f>
        <v>479</v>
      </c>
      <c r="E21" s="942">
        <f>IF(ISNUMBER(D21/B21),D21/B21," - ")</f>
        <v>68.428571428571431</v>
      </c>
      <c r="F21" s="941">
        <f>SUBTOTAL(9,F8:F20)</f>
        <v>2060</v>
      </c>
      <c r="G21" s="942">
        <f>IF(ISNUMBER(F21/B21),F21/B21," - ")</f>
        <v>294.28571428571428</v>
      </c>
      <c r="H21" s="941">
        <f>SUBTOTAL(9,H8:H20)</f>
        <v>721</v>
      </c>
      <c r="I21" s="942">
        <f>IF(ISNUMBER(H21/B21),H21/B21," - ")</f>
        <v>103</v>
      </c>
    </row>
    <row r="24" spans="1:9">
      <c r="A24" s="403" t="str">
        <f>Criterios!A4</f>
        <v>Fecha Informe: 06 jun. 2023</v>
      </c>
    </row>
    <row r="29" spans="1:9">
      <c r="A29" s="426"/>
    </row>
  </sheetData>
  <sheetProtection algorithmName="SHA-512" hashValue="Sbc8V3AGKuFML3L3+g/POV9kBz/AxrE5SY/oMrIujB8oGeJhZv3SU1Qh6368Cl1DycjrBMhzWO71lIaW8kUzsw==" saltValue="vULF4ehqTQy+O84nmleX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MARTORELL</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4</v>
      </c>
      <c r="C10" s="451">
        <f>IF(ISNUMBER(Datos!Q10),Datos!Q10," - ")</f>
        <v>0</v>
      </c>
      <c r="D10" s="420">
        <f>IF(ISNUMBER(Datos!R10),Datos!R10," - ")</f>
        <v>74</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370</v>
      </c>
      <c r="C12" s="451">
        <f>IF(ISNUMBER(Datos!Q12),Datos!Q12," - ")</f>
        <v>304</v>
      </c>
      <c r="D12" s="420">
        <f>IF(ISNUMBER(Datos!R12),Datos!R12," - ")</f>
        <v>7796</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374</v>
      </c>
      <c r="C14" s="1000">
        <f>SUBTOTAL(9,C9:C13)</f>
        <v>304</v>
      </c>
      <c r="D14" s="998">
        <f>SUBTOTAL(9,D9:D13)</f>
        <v>7870</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51</v>
      </c>
      <c r="C17" s="451">
        <f>IF(ISNUMBER(Datos!Q17),Datos!Q17," - ")</f>
        <v>45</v>
      </c>
      <c r="D17" s="420">
        <f>IF(ISNUMBER(Datos!R17),Datos!R17," - ")</f>
        <v>211</v>
      </c>
    </row>
    <row r="18" spans="1:4">
      <c r="A18" s="414" t="str">
        <f>Datos!A18</f>
        <v>Jdos. Violencia contra la mujer</v>
      </c>
      <c r="B18" s="450">
        <f>IF(ISNUMBER(Datos!P18),Datos!P18," - ")</f>
        <v>0</v>
      </c>
      <c r="C18" s="451">
        <f>IF(ISNUMBER(Datos!Q18),Datos!Q18," - ")</f>
        <v>0</v>
      </c>
      <c r="D18" s="420">
        <f>IF(ISNUMBER(Datos!R18),Datos!R18," - ")</f>
        <v>1</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51</v>
      </c>
      <c r="C20" s="1000">
        <f>SUBTOTAL(9,C16:C19)</f>
        <v>45</v>
      </c>
      <c r="D20" s="998">
        <f>SUBTOTAL(9,D16:D19)</f>
        <v>212</v>
      </c>
    </row>
    <row r="21" spans="1:4" ht="16.5" customHeight="1" thickTop="1" thickBot="1">
      <c r="A21" s="940" t="str">
        <f>Datos!A21</f>
        <v>TOTAL JURISDICCIONES</v>
      </c>
      <c r="B21" s="945">
        <f>SUBTOTAL(9,B8:B20)</f>
        <v>425</v>
      </c>
      <c r="C21" s="946">
        <f>SUBTOTAL(9,C8:C20)</f>
        <v>349</v>
      </c>
      <c r="D21" s="947">
        <f>SUBTOTAL(9,D8:D20)</f>
        <v>8082</v>
      </c>
    </row>
    <row r="22" spans="1:4" ht="7.5" customHeight="1"/>
    <row r="23" spans="1:4" ht="6" customHeight="1"/>
    <row r="24" spans="1:4">
      <c r="A24" s="403" t="str">
        <f>Criterios!A4</f>
        <v>Fecha Informe: 06 jun. 2023</v>
      </c>
    </row>
    <row r="29" spans="1:4">
      <c r="A29" s="426"/>
    </row>
  </sheetData>
  <sheetProtection algorithmName="SHA-512" hashValue="r6DXRGlz7HIcLMLjGQnoZ8/qxIM+KzoP14oG2FcYJIbDulRaVPnE95yY7azJso8Id6ibMgbh1pbJDSBSlQ7vpg==" saltValue="RAFfziB8HK1SiomCjWIt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MARTORELL</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0.18446601941747573</v>
      </c>
      <c r="C10" s="473">
        <f>IF(ISNUMBER((Datos!J10-Datos!T10)/Datos!T10),(Datos!J10-Datos!T10)/Datos!T10," - ")</f>
        <v>-0.33333333333333331</v>
      </c>
      <c r="D10" s="473">
        <f>IF(ISNUMBER((Datos!K10-Datos!U10)/Datos!U10),(Datos!K10-Datos!U10)/Datos!U10," - ")</f>
        <v>-0.30769230769230771</v>
      </c>
      <c r="E10" s="473">
        <f>IF(ISNUMBER((Datos!L10-Datos!V10)/Datos!V10),(Datos!L10-Datos!V10)/Datos!V10," - ")</f>
        <v>0.17142857142857143</v>
      </c>
      <c r="F10" s="473">
        <f>IF(ISNUMBER((Datos!M10-Datos!W10)/Datos!W10),(Datos!M10-Datos!W10)/Datos!W10," - ")</f>
        <v>0.25</v>
      </c>
      <c r="G10" s="474">
        <f>IF(ISNUMBER((Datos!N10-Datos!X10)/Datos!X10),(Datos!N10-Datos!X10)/Datos!X10," - ")</f>
        <v>-1</v>
      </c>
      <c r="H10" s="472">
        <f>IF(ISNUMBER(((NºAsuntos!G10/NºAsuntos!E10)-Datos!BD10)/Datos!BD10),((NºAsuntos!G10/NºAsuntos!E10)-Datos!BD10)/Datos!BD10," - ")</f>
        <v>3.846153846153845E-2</v>
      </c>
      <c r="I10" s="473">
        <f>IF(ISNUMBER(((NºAsuntos!I10/NºAsuntos!G10)-Datos!BE10)/Datos!BE10),((NºAsuntos!I10/NºAsuntos!G10)-Datos!BE10)/Datos!BE10," - ")</f>
        <v>0.69206349206349205</v>
      </c>
      <c r="J10" s="478">
        <f>IF(ISNUMBER((('Resol  Asuntos'!D10/NºAsuntos!G10)-Datos!BF10)/Datos!BF10),(('Resol  Asuntos'!D10/NºAsuntos!G10)-Datos!BF10)/Datos!BF10," - ")</f>
        <v>0.80555555555555558</v>
      </c>
      <c r="K10" s="479">
        <f>IF(ISNUMBER((((NºAsuntos!C10+NºAsuntos!E10)/NºAsuntos!G10)-Datos!BG10)/Datos!BG10),(((NºAsuntos!C10+NºAsuntos!E10)/NºAsuntos!G10)-Datos!BG10)/Datos!BG10," - ")</f>
        <v>0.61581920903954801</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4.7077082255561301E-2</v>
      </c>
      <c r="C12" s="473">
        <f>IF(ISNUMBER(
   IF(J_V="SI",(Datos!J12-Datos!T12)/Datos!T12,(Datos!J12+Datos!Z12-(Datos!T12+Datos!AH12))/(Datos!T12+Datos!AH12))
     ),IF(J_V="SI",(Datos!J12-Datos!T12)/Datos!T12,(Datos!J12+Datos!Z12-(Datos!T12+Datos!AH12))/(Datos!T12+Datos!AH12))," - ")</f>
        <v>4.1318248893261189E-2</v>
      </c>
      <c r="D12" s="473">
        <f>IF(ISNUMBER(
   IF(J_V="SI",(Datos!K12-Datos!U12)/Datos!U12,(Datos!K12+Datos!AA12-(Datos!U12+Datos!AI12))/(Datos!U12+Datos!AI12))
     ),IF(J_V="SI",(Datos!K12-Datos!U12)/Datos!U12,(Datos!K12+Datos!AA12-(Datos!U12+Datos!AI12))/(Datos!U12+Datos!AI12))," - ")</f>
        <v>2.2272986864648771E-2</v>
      </c>
      <c r="E12" s="473">
        <f>IF(ISNUMBER(
   IF(J_V="SI",(Datos!L12-Datos!V12)/Datos!V12,(Datos!L12+Datos!AB12-(Datos!V12+Datos!AJ12))/(Datos!V12+Datos!AJ12))
     ),IF(J_V="SI",(Datos!L12-Datos!V12)/Datos!V12,(Datos!L12+Datos!AB12-(Datos!V12+Datos!AJ12))/(Datos!V12+Datos!AJ12))," - ")</f>
        <v>4.1164985356329321E-2</v>
      </c>
      <c r="F12" s="473">
        <f>IF(ISNUMBER((Datos!M12-Datos!W12)/Datos!W12),(Datos!M12-Datos!W12)/Datos!W12," - ")</f>
        <v>-7.77027027027027E-2</v>
      </c>
      <c r="G12" s="474">
        <f>IF(ISNUMBER((Datos!N12-Datos!X12)/Datos!X12),(Datos!N12-Datos!X12)/Datos!X12," - ")</f>
        <v>8.2278481012658222E-2</v>
      </c>
      <c r="H12" s="472">
        <f>IF(ISNUMBER(((NºAsuntos!G12/NºAsuntos!E12)-Datos!BD12)/Datos!BD12),((NºAsuntos!G12/NºAsuntos!E12)-Datos!BD12)/Datos!BD12," - ")</f>
        <v>-1.8289569061959818E-2</v>
      </c>
      <c r="I12" s="473">
        <f>IF(ISNUMBER(((NºAsuntos!I12/NºAsuntos!G12)-Datos!BE12)/Datos!BE12),((NºAsuntos!I12/NºAsuntos!G12)-Datos!BE12)/Datos!BE12," - ")</f>
        <v>1.8480385116722134E-2</v>
      </c>
      <c r="J12" s="478">
        <f>IF(ISNUMBER((('Resol  Asuntos'!D12/NºAsuntos!G12)-Datos!BF12)/Datos!BF12),(('Resol  Asuntos'!D12/NºAsuntos!G12)-Datos!BF12)/Datos!BF12," - ")</f>
        <v>-0.66195955024397146</v>
      </c>
      <c r="K12" s="479">
        <f>IF(ISNUMBER((((NºAsuntos!C12+NºAsuntos!E12)/NºAsuntos!G12)-Datos!BG12)/Datos!BG12),(((NºAsuntos!C12+NºAsuntos!E12)/NºAsuntos!G12)-Datos!BG12)/Datos!BG12," - ")</f>
        <v>2.2801384949869049E-2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4.9474754320569296E-2</v>
      </c>
      <c r="C14" s="1002">
        <f>IF(ISNUMBER(
   IF(J_V="SI",(Datos!J14-Datos!T14)/Datos!T14,(Datos!J14+Datos!Z14-(Datos!T14+Datos!AH14))/(Datos!T14+Datos!AH14))
     ),IF(J_V="SI",(Datos!J14-Datos!T14)/Datos!T14,(Datos!J14+Datos!Z14-(Datos!T14+Datos!AH14))/(Datos!T14+Datos!AH14))," - ")</f>
        <v>3.857421875E-2</v>
      </c>
      <c r="D14" s="1002">
        <f>IF(ISNUMBER(
   IF(J_V="SI",(Datos!K14-Datos!U14)/Datos!U14,(Datos!K14+Datos!AA14-(Datos!U14+Datos!AI14))/(Datos!U14+Datos!AI14))
     ),IF(J_V="SI",(Datos!K14-Datos!U14)/Datos!U14,(Datos!K14+Datos!AA14-(Datos!U14+Datos!AI14))/(Datos!U14+Datos!AI14))," - ")</f>
        <v>1.984126984126984E-2</v>
      </c>
      <c r="E14" s="1002">
        <f>IF(ISNUMBER(
   IF(J_V="SI",(Datos!L14-Datos!V14)/Datos!V14,(Datos!L14+Datos!AB14-(Datos!V14+Datos!AJ14))/(Datos!V14+Datos!AJ14))
     ),IF(J_V="SI",(Datos!L14-Datos!V14)/Datos!V14,(Datos!L14+Datos!AB14-(Datos!V14+Datos!AJ14))/(Datos!V14+Datos!AJ14))," - ")</f>
        <v>4.3353063509838426E-2</v>
      </c>
      <c r="F14" s="1003">
        <f>IF(ISNUMBER((Datos!M14-Datos!W14)/Datos!W14),(Datos!M14-Datos!W14)/Datos!W14," - ")</f>
        <v>-7.3333333333333334E-2</v>
      </c>
      <c r="G14" s="1004">
        <f>IF(ISNUMBER((Datos!N14-Datos!X14)/Datos!X14),(Datos!N14-Datos!X14)/Datos!X14," - ")</f>
        <v>7.1428571428571425E-2</v>
      </c>
      <c r="H14" s="1004">
        <f>IF(ISNUMBER(((NºAsuntos!G14/NºAsuntos!E14)-Datos!BD14)/Datos!BD14),((NºAsuntos!G14/NºAsuntos!E14)-Datos!BD14)/Datos!BD14," - ")</f>
        <v>-1.8037178827023659E-2</v>
      </c>
      <c r="I14" s="1004">
        <f>IF(ISNUMBER(((NºAsuntos!I14/NºAsuntos!G14)-Datos!BE14)/Datos!BE14),((NºAsuntos!I14/NºAsuntos!G14)-Datos!BE14)/Datos!BE14," - ")</f>
        <v>2.3054365776184027E-2</v>
      </c>
      <c r="J14" s="1004">
        <f>IF(ISNUMBER((('Resol  Asuntos'!D14/NºAsuntos!G14)-Datos!BF14)/Datos!BF14),(('Resol  Asuntos'!D14/NºAsuntos!G14)-Datos!BF14)/Datos!BF14," - ")</f>
        <v>-0.65668584422076082</v>
      </c>
      <c r="K14" s="1004">
        <f>IF(ISNUMBER((((NºAsuntos!C14+NºAsuntos!E14)/NºAsuntos!G14)-Datos!BG14)/Datos!BG14),(((NºAsuntos!C14+NºAsuntos!E14)/NºAsuntos!G14)-Datos!BG14)/Datos!BG14," - ")</f>
        <v>2.6303501945525339E-2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0.20498988536749832</v>
      </c>
      <c r="C17" s="473">
        <f>IF(ISNUMBER(
   IF(D_I="SI",(Datos!J17-Datos!T17)/Datos!T17,(Datos!J17+Datos!AD17-(Datos!T17+Datos!AL17))/(Datos!T17+Datos!AL17))
     ),IF(D_I="SI",(Datos!J17-Datos!T17)/Datos!T17,(Datos!J17+Datos!AD17-(Datos!T17+Datos!AL17))/(Datos!T17+Datos!AL17))," - ")</f>
        <v>2.917933130699088E-2</v>
      </c>
      <c r="D17" s="473">
        <f>IF(ISNUMBER(
   IF(D_I="SI",(Datos!K17-Datos!U17)/Datos!U17,(Datos!K17+Datos!AE17-(Datos!U17+Datos!AM17))/(Datos!U17+Datos!AM17))
     ),IF(D_I="SI",(Datos!K17-Datos!U17)/Datos!U17,(Datos!K17+Datos!AE17-(Datos!U17+Datos!AM17))/(Datos!U17+Datos!AM17))," - ")</f>
        <v>-7.0000000000000007E-2</v>
      </c>
      <c r="E17" s="473">
        <f>IF(ISNUMBER(
   IF(D_I="SI",(Datos!L17-Datos!V17)/Datos!V17,(Datos!L17+Datos!AF17-(Datos!V17+Datos!AN17))/(Datos!V17+Datos!AN17))
     ),IF(D_I="SI",(Datos!L17-Datos!V17)/Datos!V17,(Datos!L17+Datos!AF17-(Datos!V17+Datos!AN17))/(Datos!V17+Datos!AN17))," - ")</f>
        <v>0.363232023721275</v>
      </c>
      <c r="F17" s="473">
        <f>IF(ISNUMBER((Datos!M17-Datos!W17)/Datos!W17),(Datos!M17-Datos!W17)/Datos!W17," - ")</f>
        <v>8.5714285714285715E-2</v>
      </c>
      <c r="G17" s="474">
        <f>IF(ISNUMBER((Datos!N17-Datos!X17)/Datos!X17),(Datos!N17-Datos!X17)/Datos!X17," - ")</f>
        <v>2.1910604732690624E-2</v>
      </c>
      <c r="H17" s="472">
        <f>IF(ISNUMBER(((NºAsuntos!G17/NºAsuntos!E17)-Datos!BD17)/Datos!BD17),((NºAsuntos!G17/NºAsuntos!E17)-Datos!BD17)/Datos!BD17," - ")</f>
        <v>-9.6367395156526842E-2</v>
      </c>
      <c r="I17" s="473">
        <f>IF(ISNUMBER(((NºAsuntos!I17/NºAsuntos!G17)-Datos!BE17)/Datos!BE17),((NºAsuntos!I17/NºAsuntos!G17)-Datos!BE17)/Datos!BE17," - ")</f>
        <v>0.46584088572180105</v>
      </c>
      <c r="J17" s="478">
        <f>IF(ISNUMBER((('Resol  Asuntos'!D17/NºAsuntos!G17)-Datos!BF17)/Datos!BF17),(('Resol  Asuntos'!D17/NºAsuntos!G17)-Datos!BF17)/Datos!BF17," - ")</f>
        <v>0.16743471582181252</v>
      </c>
      <c r="K17" s="479">
        <f>IF(ISNUMBER((((NºAsuntos!C17+NºAsuntos!E17)/NºAsuntos!G17)-Datos!BG17)/Datos!BG17),(((NºAsuntos!C17+NºAsuntos!E17)/NºAsuntos!G17)-Datos!BG17)/Datos!BG17," - ")</f>
        <v>0.19627093474135796</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7.2072072072072071E-2</v>
      </c>
      <c r="C18" s="473">
        <f>IF(ISNUMBER(
   IF(D_I="SI",(Datos!J18-Datos!T18)/Datos!T18,(Datos!J18+Datos!AD18-(Datos!T18+Datos!AL18))/(Datos!T18+Datos!AL18))
     ),IF(D_I="SI",(Datos!J18-Datos!T18)/Datos!T18,(Datos!J18+Datos!AD18-(Datos!T18+Datos!AL18))/(Datos!T18+Datos!AL18))," - ")</f>
        <v>-0.4375</v>
      </c>
      <c r="D18" s="473">
        <f>IF(ISNUMBER(
   IF(D_I="SI",(Datos!K18-Datos!U18)/Datos!U18,(Datos!K18+Datos!AE18-(Datos!U18+Datos!AM18))/(Datos!U18+Datos!AM18))
     ),IF(D_I="SI",(Datos!K18-Datos!U18)/Datos!U18,(Datos!K18+Datos!AE18-(Datos!U18+Datos!AM18))/(Datos!U18+Datos!AM18))," - ")</f>
        <v>-0.54867256637168138</v>
      </c>
      <c r="E18" s="473">
        <f>IF(ISNUMBER(
   IF(D_I="SI",(Datos!L18-Datos!V18)/Datos!V18,(Datos!L18+Datos!AF18-(Datos!V18+Datos!AN18))/(Datos!V18+Datos!AN18))
     ),IF(D_I="SI",(Datos!L18-Datos!V18)/Datos!V18,(Datos!L18+Datos!AF18-(Datos!V18+Datos!AN18))/(Datos!V18+Datos!AN18))," - ")</f>
        <v>0.13122171945701358</v>
      </c>
      <c r="F18" s="473">
        <f>IF(ISNUMBER((Datos!M18-Datos!W18)/Datos!W18),(Datos!M18-Datos!W18)/Datos!W18," - ")</f>
        <v>4.5</v>
      </c>
      <c r="G18" s="474">
        <f>IF(ISNUMBER((Datos!N18-Datos!X18)/Datos!X18),(Datos!N18-Datos!X18)/Datos!X18," - ")</f>
        <v>-0.43478260869565216</v>
      </c>
      <c r="H18" s="472">
        <f>IF(ISNUMBER(((NºAsuntos!G18/NºAsuntos!E18)-Datos!BD18)/Datos!BD18),((NºAsuntos!G18/NºAsuntos!E18)-Datos!BD18)/Datos!BD18," - ")</f>
        <v>-0.19764011799410025</v>
      </c>
      <c r="I18" s="473">
        <f>IF(ISNUMBER(((NºAsuntos!I18/NºAsuntos!G18)-Datos!BE18)/Datos!BE18),((NºAsuntos!I18/NºAsuntos!G18)-Datos!BE18)/Datos!BE18," - ")</f>
        <v>1.5064324372282853</v>
      </c>
      <c r="J18" s="478">
        <f>IF(ISNUMBER((('Resol  Asuntos'!D18/NºAsuntos!G18)-Datos!BF18)/Datos!BF18),(('Resol  Asuntos'!D18/NºAsuntos!G18)-Datos!BF18)/Datos!BF18," - ")</f>
        <v>11.186274509803923</v>
      </c>
      <c r="K18" s="479">
        <f>IF(ISNUMBER((((NºAsuntos!C18+NºAsuntos!E18)/NºAsuntos!G18)-Datos!BG18)/Datos!BG18),(((NºAsuntos!C18+NºAsuntos!E18)/NºAsuntos!G18)-Datos!BG18)/Datos!BG18," - ")</f>
        <v>0.99677116355524242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0.18768328445747801</v>
      </c>
      <c r="C20" s="1002">
        <f>IF(ISNUMBER(
   IF(Criterios!B14="SI",(Datos!J20-Datos!T20)/Datos!T20,(Datos!J20+Datos!AD20-(Datos!T20+Datos!AL20))/(Datos!T20+Datos!AL20))
     ),IF(Criterios!B14="SI",(Datos!J20-Datos!T20)/Datos!T20,(Datos!J20+Datos!AD20-(Datos!T20+Datos!AL20))/(Datos!T20+Datos!AL20))," - ")</f>
        <v>-5.6915196357427435E-4</v>
      </c>
      <c r="D20" s="1002">
        <f>IF(ISNUMBER(
   IF(Criterios!B14="SI",(Datos!K20-Datos!U20)/Datos!U20,(Datos!K20+Datos!AE20-(Datos!U20+Datos!AM20))/(Datos!U20+Datos!AM20))
     ),IF(Criterios!B14="SI",(Datos!K20-Datos!U20)/Datos!U20,(Datos!K20+Datos!AE20-(Datos!U20+Datos!AM20))/(Datos!U20+Datos!AM20))," - ")</f>
        <v>-9.8274960794563507E-2</v>
      </c>
      <c r="E20" s="1002">
        <f>IF(ISNUMBER(
   IF(Criterios!B14="SI",(Datos!L20-Datos!V20)/Datos!V20,(Datos!L20+Datos!AF20-(Datos!V20+Datos!AN20))/(Datos!V20+Datos!AN20))
     ),IF(Criterios!B14="SI",(Datos!L20-Datos!V20)/Datos!V20,(Datos!L20+Datos!AF20-(Datos!V20+Datos!AN20))/(Datos!V20+Datos!AN20))," - ")</f>
        <v>0.33057324840764329</v>
      </c>
      <c r="F20" s="1003">
        <f>IF(ISNUMBER((Datos!M20-Datos!W20)/Datos!W20),(Datos!M20-Datos!W20)/Datos!W20," - ")</f>
        <v>0.13559322033898305</v>
      </c>
      <c r="G20" s="1004">
        <f>IF(ISNUMBER((Datos!N20-Datos!X20)/Datos!X20),(Datos!N20-Datos!X20)/Datos!X20," - ")</f>
        <v>-4.1322314049586778E-3</v>
      </c>
      <c r="H20" s="1004">
        <f>IF(ISNUMBER(((NºAsuntos!G20/NºAsuntos!E20)-Datos!BD20)/Datos!BD20),((NºAsuntos!G20/NºAsuntos!E20)-Datos!BD20)/Datos!BD20," - ")</f>
        <v>-9.7761449952191423E-2</v>
      </c>
      <c r="I20" s="1004">
        <f>IF(ISNUMBER(((NºAsuntos!I20/NºAsuntos!G20)-Datos!BE20)/Datos!BE20),((NºAsuntos!I20/NºAsuntos!G20)-Datos!BE20)/Datos!BE20," - ")</f>
        <v>0.47558644881380974</v>
      </c>
      <c r="J20" s="1004">
        <f>IF(ISNUMBER((('Resol  Asuntos'!D20/NºAsuntos!G20)-Datos!BF20)/Datos!BF20),(('Resol  Asuntos'!D20/NºAsuntos!G20)-Datos!BF20)/Datos!BF20," - ")</f>
        <v>0.25935642348317378</v>
      </c>
      <c r="K20" s="1004">
        <f>IF(ISNUMBER((((NºAsuntos!C20+NºAsuntos!E20)/NºAsuntos!G20)-Datos!BG20)/Datos!BG20),(((NºAsuntos!C20+NºAsuntos!E20)/NºAsuntos!G20)-Datos!BG20)/Datos!BG20," - ")</f>
        <v>0.21117105802962194</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8.045221506507165E-2</v>
      </c>
      <c r="C21" s="949">
        <f>IF(ISNUMBER(
   IF(J_V="SI",(Datos!J21-Datos!T21)/Datos!T21,(Datos!J21+Datos!Z21-(Datos!T21+Datos!AH21))/(Datos!T21+Datos!AH21))
     ),IF(J_V="SI",(Datos!J21-Datos!T21)/Datos!T21,(Datos!J21+Datos!Z21-(Datos!T21+Datos!AH21))/(Datos!T21+Datos!AH21))," - ")</f>
        <v>2.049934296977661E-2</v>
      </c>
      <c r="D21" s="949">
        <f>IF(ISNUMBER(
   IF(J_V="SI",(Datos!K21-Datos!U21)/Datos!U21,(Datos!K21+Datos!AA21-(Datos!U21+Datos!AI21))/(Datos!U21+Datos!AI21))
     ),IF(J_V="SI",(Datos!K21-Datos!U21)/Datos!U21,(Datos!K21+Datos!AA21-(Datos!U21+Datos!AI21))/(Datos!U21+Datos!AI21))," - ")</f>
        <v>-4.1610008158825131E-2</v>
      </c>
      <c r="E21" s="949">
        <f>IF(ISNUMBER(
   IF(J_V="SI",(Datos!L21-Datos!V21)/Datos!V21,(Datos!L21+Datos!AB21-(Datos!V21+Datos!AJ21))/(Datos!V21+Datos!AJ21))
     ),IF(J_V="SI",(Datos!L21-Datos!V21)/Datos!V21,(Datos!L21+Datos!AB21-(Datos!V21+Datos!AJ21))/(Datos!V21+Datos!AJ21))," - ")</f>
        <v>0.10101010101010101</v>
      </c>
      <c r="F21" s="950">
        <f>IF(ISNUMBER((Datos!M21-Datos!W21)/Datos!W21),(Datos!M21-Datos!W21)/Datos!W21," - ")</f>
        <v>4.1928721174004195E-3</v>
      </c>
      <c r="G21" s="951">
        <f>IF(ISNUMBER((Datos!N21-Datos!X21)/Datos!X21),(Datos!N21-Datos!X21)/Datos!X21," - ")</f>
        <v>2.5896414342629483E-2</v>
      </c>
      <c r="H21" s="952">
        <f>IF(ISNUMBER((Tasas!B21-Datos!BD21)/Datos!BD21),(Tasas!B21-Datos!BD21)/Datos!BD21," - ")</f>
        <v>-6.0861725738946632E-2</v>
      </c>
      <c r="I21" s="953">
        <f>IF(ISNUMBER((Tasas!C21-Datos!BE21)/Datos!BE21),(Tasas!C21-Datos!BE21)/Datos!BE21," - ")</f>
        <v>0.14881218541831473</v>
      </c>
      <c r="J21" s="954">
        <f>IF(ISNUMBER((Tasas!D21-Datos!BF21)/Datos!BF21),(Tasas!D21-Datos!BF21)/Datos!BF21," - ")</f>
        <v>-0.48527647989189326</v>
      </c>
      <c r="K21" s="954">
        <f>IF(ISNUMBER((Tasas!E21-Datos!BG21)/Datos!BG21),(Tasas!E21-Datos!BG21)/Datos!BG21," - ")</f>
        <v>0.10650432485787714</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jfi1FXETi4O305ZWcq6X7yBY2hWgy5s7slwf49E/gIHW7VK/RLYvp2hvnhhPazhBXdl4Bx1QIJzDVW608WgeRA==" saltValue="voMsT27c55BwWdt+YtlNL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MARTORELL</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0.9</v>
      </c>
      <c r="C10" s="460">
        <f>IF(ISNUMBER(NºAsuntos!I10/NºAsuntos!G10),NºAsuntos!I10/NºAsuntos!G10," - ")</f>
        <v>13.666666666666666</v>
      </c>
      <c r="D10" s="461">
        <f>IF(ISNUMBER('Resol  Asuntos'!D10/NºAsuntos!G10),'Resol  Asuntos'!D10/NºAsuntos!G10," - ")</f>
        <v>0.55555555555555558</v>
      </c>
      <c r="E10" s="462">
        <f>IF(ISNUMBER((NºAsuntos!C10+NºAsuntos!E10)/NºAsuntos!G10),(NºAsuntos!C10+NºAsuntos!E10)/NºAsuntos!G10," - ")</f>
        <v>14.666666666666666</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0.8455361360415683</v>
      </c>
      <c r="C12" s="460">
        <f>IF(ISNUMBER(NºAsuntos!I12/NºAsuntos!G12),NºAsuntos!I12/NºAsuntos!G12," - ")</f>
        <v>3.5748603351955306</v>
      </c>
      <c r="D12" s="461">
        <f>IF(ISNUMBER('Resol  Asuntos'!D12/NºAsuntos!G12),'Resol  Asuntos'!D12/NºAsuntos!G12," - ")</f>
        <v>0.15251396648044693</v>
      </c>
      <c r="E12" s="462">
        <f>IF(ISNUMBER((NºAsuntos!C12+NºAsuntos!E12)/NºAsuntos!G12),(NºAsuntos!C12+NºAsuntos!E12)/NºAsuntos!G12," - ")</f>
        <v>4.574860335195531</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0.84579219558063001</v>
      </c>
      <c r="C14" s="1006">
        <f>IF(ISNUMBER(NºAsuntos!I14/NºAsuntos!G14),NºAsuntos!I14/NºAsuntos!G14," - ")</f>
        <v>3.6253474152306837</v>
      </c>
      <c r="D14" s="1007">
        <f>IF(ISNUMBER('Resol  Asuntos'!D14/NºAsuntos!G14),'Resol  Asuntos'!D14/NºAsuntos!G14," - ")</f>
        <v>0.15453029460811563</v>
      </c>
      <c r="E14" s="1008">
        <f>IF(ISNUMBER((NºAsuntos!C14+NºAsuntos!E14)/NºAsuntos!G14),(NºAsuntos!C14+NºAsuntos!E14)/NºAsuntos!G14," - ")</f>
        <v>4.6253474152306842</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0.9887773183697578</v>
      </c>
      <c r="C17" s="460">
        <f>IF(ISNUMBER(NºAsuntos!I17/NºAsuntos!G17),NºAsuntos!I17/NºAsuntos!G17," - ")</f>
        <v>1.0985663082437276</v>
      </c>
      <c r="D17" s="461">
        <f>IF(ISNUMBER('Resol  Asuntos'!D17/NºAsuntos!G17),'Resol  Asuntos'!D17/NºAsuntos!G17," - ")</f>
        <v>0.11350059737156511</v>
      </c>
      <c r="E17" s="462">
        <f>IF(ISNUMBER((NºAsuntos!C17+NºAsuntos!E17)/NºAsuntos!G17),(NºAsuntos!C17+NºAsuntos!E17)/NºAsuntos!G17," - ")</f>
        <v>2.0788530465949822</v>
      </c>
      <c r="G17" s="480"/>
    </row>
    <row r="18" spans="1:7">
      <c r="A18" s="414" t="str">
        <f>Datos!A18</f>
        <v>Jdos. Violencia contra la mujer</v>
      </c>
      <c r="B18" s="459">
        <f>IF(ISNUMBER(NºAsuntos!G18/NºAsuntos!E18),NºAsuntos!G18/NºAsuntos!E18," - ")</f>
        <v>0.80952380952380953</v>
      </c>
      <c r="C18" s="460">
        <f>IF(ISNUMBER(NºAsuntos!I18/NºAsuntos!G18),NºAsuntos!I18/NºAsuntos!G18," - ")</f>
        <v>4.9019607843137258</v>
      </c>
      <c r="D18" s="461">
        <f>IF(ISNUMBER('Resol  Asuntos'!D18/NºAsuntos!G18),'Resol  Asuntos'!D18/NºAsuntos!G18," - ")</f>
        <v>0.21568627450980393</v>
      </c>
      <c r="E18" s="462">
        <f>IF(ISNUMBER((NºAsuntos!C18+NºAsuntos!E18)/NºAsuntos!G18),(NºAsuntos!C18+NºAsuntos!E18)/NºAsuntos!G18," - ")</f>
        <v>5.9019607843137258</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0.98234624145785876</v>
      </c>
      <c r="C20" s="1006">
        <f>IF(ISNUMBER(NºAsuntos!I20/NºAsuntos!G20),NºAsuntos!I20/NºAsuntos!G20," - ")</f>
        <v>1.2110144927536233</v>
      </c>
      <c r="D20" s="1009">
        <f>IF(ISNUMBER('Resol  Asuntos'!D20/NºAsuntos!G20),'Resol  Asuntos'!D20/NºAsuntos!G20," - ")</f>
        <v>0.11652173913043479</v>
      </c>
      <c r="E20" s="1008">
        <f>IF(ISNUMBER((NºAsuntos!C20+NºAsuntos!E20)/NºAsuntos!G20),(NºAsuntos!C20+NºAsuntos!E20)/NºAsuntos!G20," - ")</f>
        <v>2.1918840579710146</v>
      </c>
      <c r="G20" s="480"/>
    </row>
    <row r="21" spans="1:7" ht="15.75" customHeight="1" thickTop="1" thickBot="1">
      <c r="A21" s="940" t="str">
        <f>Datos!A21</f>
        <v>TOTAL JURISDICCIONES</v>
      </c>
      <c r="B21" s="955">
        <f>IF(ISNUMBER(NºAsuntos!G21/NºAsuntos!E21),NºAsuntos!G21/NºAsuntos!E21," - ")</f>
        <v>0.90754571207828993</v>
      </c>
      <c r="C21" s="956">
        <f>IF(ISNUMBER(NºAsuntos!I21/NºAsuntos!G21),NºAsuntos!I21/NºAsuntos!G21," - ")</f>
        <v>2.4435300794551646</v>
      </c>
      <c r="D21" s="957">
        <f>IF(ISNUMBER('Resol  Asuntos'!D21/NºAsuntos!G21),'Resol  Asuntos'!D21/NºAsuntos!G21," - ")</f>
        <v>0.13592508513053347</v>
      </c>
      <c r="E21" s="958">
        <f>IF(ISNUMBER((NºAsuntos!C21+NºAsuntos!E21)/NºAsuntos!G21),(NºAsuntos!C21+NºAsuntos!E21)/NºAsuntos!G21," - ")</f>
        <v>3.4341657207718503</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sTXdUZu7fuRn3p1rcdM9DzQQxMqZnfbXtl63nnnC7MaD0MYcrRIEzxnO3tPlJZJrBYyKpxznGPZx2LD/LtbZFA==" saltValue="mtsf102UJZO8wY4j6q835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MARTORELL</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122</v>
      </c>
      <c r="G10" s="343">
        <f>IF(ISNUMBER(Datos!I10),Datos!I10," - ")</f>
        <v>122</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4</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9</v>
      </c>
      <c r="X10" s="231">
        <f>IF(ISNUMBER(Datos!Q10),Datos!Q10," - ")</f>
        <v>0</v>
      </c>
      <c r="Y10" s="344">
        <f t="shared" ref="Y10:Y13" si="0">SUM(W10:X10)</f>
        <v>9</v>
      </c>
      <c r="Z10" s="345" t="str">
        <f>IF(ISNUMBER(Datos!CC10),Datos!CC10," - ")</f>
        <v xml:space="preserve"> - </v>
      </c>
      <c r="AA10" s="342">
        <f>IF(ISNUMBER(Datos!L10),Datos!L10,"-")</f>
        <v>123</v>
      </c>
      <c r="AB10" s="344">
        <f>IF(ISNUMBER(Datos!R10),Datos!R10," - ")</f>
        <v>74</v>
      </c>
      <c r="AC10" s="344">
        <f t="shared" ref="AC10:AC13" si="1">IF(ISNUMBER(AA10+AB10),AA10+AB10," - ")</f>
        <v>197</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5</v>
      </c>
      <c r="AJ10" s="236" t="str">
        <f>IF(ISNUMBER(Datos!BW10),Datos!BW10," - ")</f>
        <v xml:space="preserve"> - </v>
      </c>
      <c r="AK10" s="237" t="str">
        <f>IF(ISNUMBER(Datos!BX10),Datos!BX10," - ")</f>
        <v xml:space="preserve"> - </v>
      </c>
      <c r="AL10" s="248">
        <f>IF(ISNUMBER(NºAsuntos!G10/NºAsuntos!E10),NºAsuntos!G10/NºAsuntos!E10," - ")</f>
        <v>0.9</v>
      </c>
      <c r="AM10" s="265">
        <f>IF(ISNUMBER(((NºAsuntos!I10/NºAsuntos!G10)*11)/factor_trimestre),((NºAsuntos!I10/NºAsuntos!G10)*11)/factor_trimestre," - ")</f>
        <v>41</v>
      </c>
      <c r="AN10" s="249">
        <f>IF(ISNUMBER('Resol  Asuntos'!D10/NºAsuntos!G10),'Resol  Asuntos'!D10/NºAsuntos!G10," - ")</f>
        <v>0.55555555555555558</v>
      </c>
      <c r="AO10" s="250">
        <f>IF(ISNUMBER((NºAsuntos!C10+NºAsuntos!E10)/NºAsuntos!G10),(NºAsuntos!C10+NºAsuntos!E10)/NºAsuntos!G10," - ")</f>
        <v>14.666666666666666</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7</v>
      </c>
      <c r="B12" s="280" t="s">
        <v>273</v>
      </c>
      <c r="C12" s="7" t="str">
        <f>Datos!A12</f>
        <v xml:space="preserve">Jdos. 1ª Instª. e Instr.                        </v>
      </c>
      <c r="D12" s="7"/>
      <c r="E12" s="1205">
        <f>IF(ISNUMBER(Datos!AQ12),Datos!AQ12," - ")</f>
        <v>7</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370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304</v>
      </c>
      <c r="Y12" s="344">
        <f t="shared" si="0"/>
        <v>304</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7796</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273</v>
      </c>
      <c r="AJ12" s="234" t="str">
        <f>IF(ISNUMBER(Datos!BW12),Datos!BW12," - ")</f>
        <v xml:space="preserve"> - </v>
      </c>
      <c r="AK12" s="233" t="str">
        <f>IF(ISNUMBER(Datos!BX12),Datos!BX12," - ")</f>
        <v xml:space="preserve"> - </v>
      </c>
      <c r="AL12" s="248">
        <f>IF(ISNUMBER(NºAsuntos!G12/NºAsuntos!E12),NºAsuntos!G12/NºAsuntos!E12," - ")</f>
        <v>0.8455361360415683</v>
      </c>
      <c r="AM12" s="265">
        <f>IF(ISNUMBER(((NºAsuntos!I12/NºAsuntos!G12)*11)/factor_trimestre),((NºAsuntos!I12/NºAsuntos!G12)*11)/factor_trimestre," - ")</f>
        <v>10.724581005586591</v>
      </c>
      <c r="AN12" s="249">
        <f>IF(ISNUMBER('Resol  Asuntos'!D12/NºAsuntos!G12),'Resol  Asuntos'!D12/NºAsuntos!G12," - ")</f>
        <v>0.15251396648044693</v>
      </c>
      <c r="AO12" s="250">
        <f>IF(ISNUMBER((NºAsuntos!C12+NºAsuntos!E12)/NºAsuntos!G12),(NºAsuntos!C12+NºAsuntos!E12)/NºAsuntos!G12," - ")</f>
        <v>4.574860335195531</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7</v>
      </c>
      <c r="F14" s="1012">
        <f t="shared" si="5"/>
        <v>122</v>
      </c>
      <c r="G14" s="1013">
        <f t="shared" si="5"/>
        <v>122</v>
      </c>
      <c r="H14" s="1012">
        <f t="shared" si="5"/>
        <v>0</v>
      </c>
      <c r="I14" s="1014">
        <f t="shared" si="5"/>
        <v>0</v>
      </c>
      <c r="J14" s="1014">
        <f t="shared" si="5"/>
        <v>0</v>
      </c>
      <c r="K14" s="1014">
        <f t="shared" si="5"/>
        <v>0</v>
      </c>
      <c r="L14" s="1014">
        <f t="shared" si="5"/>
        <v>374</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9</v>
      </c>
      <c r="X14" s="1014">
        <f t="shared" si="6"/>
        <v>304</v>
      </c>
      <c r="Y14" s="1015">
        <f t="shared" si="6"/>
        <v>313</v>
      </c>
      <c r="Z14" s="1015">
        <f t="shared" si="6"/>
        <v>0</v>
      </c>
      <c r="AA14" s="1015">
        <f t="shared" si="6"/>
        <v>123</v>
      </c>
      <c r="AB14" s="1015">
        <f t="shared" si="6"/>
        <v>7870</v>
      </c>
      <c r="AC14" s="1015">
        <f t="shared" si="6"/>
        <v>197</v>
      </c>
      <c r="AD14" s="1015">
        <f t="shared" si="6"/>
        <v>0</v>
      </c>
      <c r="AE14" s="1019">
        <f t="shared" si="6"/>
        <v>0</v>
      </c>
      <c r="AF14" s="1012">
        <f t="shared" si="6"/>
        <v>0</v>
      </c>
      <c r="AG14" s="1020">
        <f t="shared" si="6"/>
        <v>0</v>
      </c>
      <c r="AH14" s="1017">
        <f t="shared" si="6"/>
        <v>0</v>
      </c>
      <c r="AI14" s="1012">
        <f t="shared" si="6"/>
        <v>278</v>
      </c>
      <c r="AJ14" s="1014">
        <f t="shared" si="6"/>
        <v>0</v>
      </c>
      <c r="AK14" s="1017">
        <f>SUBTOTAL(9,AK9:AK13)</f>
        <v>0</v>
      </c>
      <c r="AL14" s="1021">
        <f>IF(ISNUMBER(NºAsuntos!G14/NºAsuntos!E14),NºAsuntos!G14/NºAsuntos!E14," - ")</f>
        <v>0.84579219558063001</v>
      </c>
      <c r="AM14" s="1021">
        <f>IF(ISNUMBER(((NºAsuntos!I14/NºAsuntos!G14)*11)/factor_trimestre),((NºAsuntos!I14/NºAsuntos!G14)*11)/factor_trimestre," - ")</f>
        <v>10.876042245692052</v>
      </c>
      <c r="AN14" s="1022">
        <f>IF(ISNUMBER('Resol  Asuntos'!D14/NºAsuntos!G14),'Resol  Asuntos'!D14/NºAsuntos!G14," - ")</f>
        <v>0.15453029460811563</v>
      </c>
      <c r="AO14" s="1023">
        <f>IF(ISNUMBER((NºAsuntos!C14+NºAsuntos!E14)/NºAsuntos!G14),(NºAsuntos!C14+NºAsuntos!E14)/NºAsuntos!G14," - ")</f>
        <v>4.6253474152306842</v>
      </c>
      <c r="AP14" s="1024" t="str">
        <f t="shared" si="2"/>
        <v xml:space="preserve"> - </v>
      </c>
      <c r="AQ14" s="1024">
        <f>IF(ISNUMBER((H14-W14+K14)/(F14)),(H14-W14+K14)/(F14)," - ")</f>
        <v>-7.3770491803278687E-2</v>
      </c>
      <c r="AR14" s="1025">
        <f>IF(ISNUMBER((Datos!P14-Datos!Q14)/(Datos!R14-Datos!P14+Datos!Q14)),(Datos!P14-Datos!Q14)/(Datos!R14-Datos!P14+Datos!Q14)," - ")</f>
        <v>8.9743589743589737E-3</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7</v>
      </c>
      <c r="B17" s="280" t="s">
        <v>437</v>
      </c>
      <c r="C17" s="165" t="str">
        <f>Datos!A17</f>
        <v xml:space="preserve">Jdos. 1ª Instª. e Instr.                        </v>
      </c>
      <c r="D17" s="165"/>
      <c r="E17" s="1205">
        <f>IF(ISNUMBER(Datos!AQ17),Datos!AQ17," - ")</f>
        <v>7</v>
      </c>
      <c r="F17" s="230">
        <f>IF(ISNUMBER(AA17+W17-Datos!J17-K17),AA17+W17-Datos!J17-K17," - ")</f>
        <v>1820</v>
      </c>
      <c r="G17" s="343">
        <f>IF(ISNUMBER(IF(D_I="SI",Datos!I17,Datos!I17+Datos!AC17)),IF(D_I="SI",Datos!I17,Datos!I17+Datos!AC17)," - ")</f>
        <v>1787</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51</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1674</v>
      </c>
      <c r="X17" s="231">
        <f>IF(ISNUMBER(Datos!Q17),Datos!Q17," - ")</f>
        <v>45</v>
      </c>
      <c r="Y17" s="344">
        <f t="shared" ref="Y17:Y19" si="9">SUM(W17:X17)</f>
        <v>1719</v>
      </c>
      <c r="Z17" s="345" t="str">
        <f>IF(ISNUMBER(Datos!CC17),Datos!CC17," - ")</f>
        <v xml:space="preserve"> - </v>
      </c>
      <c r="AA17" s="342">
        <f>IF(ISNUMBER(IF(D_I="SI",Datos!L17,Datos!L17+Datos!AF17)),IF(D_I="SI",Datos!L17,Datos!L17+Datos!AF17)," - ")</f>
        <v>1839</v>
      </c>
      <c r="AB17" s="344">
        <f>IF(ISNUMBER(Datos!R17),Datos!R17," - ")</f>
        <v>211</v>
      </c>
      <c r="AC17" s="344">
        <f t="shared" si="8"/>
        <v>2050</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190</v>
      </c>
      <c r="AJ17" s="236" t="str">
        <f>IF(ISNUMBER(Datos!BW17),Datos!BW17," - ")</f>
        <v xml:space="preserve"> - </v>
      </c>
      <c r="AK17" s="237" t="str">
        <f>IF(ISNUMBER(Datos!BX17),Datos!BX17," - ")</f>
        <v xml:space="preserve"> - </v>
      </c>
      <c r="AL17" s="248">
        <f>IF(ISNUMBER(NºAsuntos!G17/NºAsuntos!E17),NºAsuntos!G17/NºAsuntos!E17," - ")</f>
        <v>0.9887773183697578</v>
      </c>
      <c r="AM17" s="265">
        <f>IF(ISNUMBER(((NºAsuntos!I17/NºAsuntos!G17)*11)/factor_trimestre),((NºAsuntos!I17/NºAsuntos!G17)*11)/factor_trimestre," - ")</f>
        <v>3.2956989247311825</v>
      </c>
      <c r="AN17" s="249">
        <f>IF(ISNUMBER('Resol  Asuntos'!D17/NºAsuntos!G17),'Resol  Asuntos'!D17/NºAsuntos!G17," - ")</f>
        <v>0.11350059737156511</v>
      </c>
      <c r="AO17" s="250">
        <f>IF(ISNUMBER((NºAsuntos!C17+NºAsuntos!E17)/NºAsuntos!G17),(NºAsuntos!C17+NºAsuntos!E17)/NºAsuntos!G17," - ")</f>
        <v>2.0788530465949822</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238</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51</v>
      </c>
      <c r="X18" s="231">
        <f>IF(ISNUMBER(Datos!Q18),Datos!Q18," - ")</f>
        <v>0</v>
      </c>
      <c r="Y18" s="344">
        <f t="shared" si="9"/>
        <v>51</v>
      </c>
      <c r="Z18" s="345" t="str">
        <f>IF(ISNUMBER(Datos!CC18),Datos!CC18," - ")</f>
        <v xml:space="preserve"> - </v>
      </c>
      <c r="AA18" s="342">
        <f>IF(ISNUMBER(Datos!L18),Datos!L18,"-")</f>
        <v>250</v>
      </c>
      <c r="AB18" s="344">
        <f>IF(ISNUMBER(Datos!R18),Datos!R18," - ")</f>
        <v>1</v>
      </c>
      <c r="AC18" s="344">
        <f t="shared" si="8"/>
        <v>251</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11</v>
      </c>
      <c r="AJ18" s="236" t="str">
        <f>IF(ISNUMBER(Datos!BW18),Datos!BW18," - ")</f>
        <v xml:space="preserve"> - </v>
      </c>
      <c r="AK18" s="237" t="str">
        <f>IF(ISNUMBER(Datos!BX18),Datos!BX18," - ")</f>
        <v xml:space="preserve"> - </v>
      </c>
      <c r="AL18" s="248">
        <f>IF(ISNUMBER(NºAsuntos!G18/NºAsuntos!E18),NºAsuntos!G18/NºAsuntos!E18," - ")</f>
        <v>0.80952380952380953</v>
      </c>
      <c r="AM18" s="265">
        <f>IF(ISNUMBER(((NºAsuntos!I18/NºAsuntos!G18)*11)/factor_trimestre),((NºAsuntos!I18/NºAsuntos!G18)*11)/factor_trimestre," - ")</f>
        <v>14.705882352941178</v>
      </c>
      <c r="AN18" s="249">
        <f>IF(ISNUMBER('Resol  Asuntos'!D18/NºAsuntos!G18),'Resol  Asuntos'!D18/NºAsuntos!G18," - ")</f>
        <v>0.21568627450980393</v>
      </c>
      <c r="AO18" s="250">
        <f>IF(ISNUMBER((NºAsuntos!C18+NºAsuntos!E18)/NºAsuntos!G18),(NºAsuntos!C18+NºAsuntos!E18)/NºAsuntos!G18," - ")</f>
        <v>5.9019607843137258</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7</v>
      </c>
      <c r="F20" s="1012">
        <f>SUBTOTAL(9,F15:F19)</f>
        <v>1820</v>
      </c>
      <c r="G20" s="1013">
        <f>SUBTOTAL(9,G16:G19)</f>
        <v>2025</v>
      </c>
      <c r="H20" s="1012">
        <f t="shared" ref="H20:O20" si="12">SUBTOTAL(9,H15:H19)</f>
        <v>0</v>
      </c>
      <c r="I20" s="1014">
        <f t="shared" si="12"/>
        <v>0</v>
      </c>
      <c r="J20" s="1014">
        <f t="shared" si="12"/>
        <v>0</v>
      </c>
      <c r="K20" s="1014">
        <f t="shared" si="12"/>
        <v>0</v>
      </c>
      <c r="L20" s="1014">
        <f t="shared" si="12"/>
        <v>51</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1725</v>
      </c>
      <c r="X20" s="1014">
        <f t="shared" si="13"/>
        <v>45</v>
      </c>
      <c r="Y20" s="1015">
        <f t="shared" si="13"/>
        <v>1770</v>
      </c>
      <c r="Z20" s="1015">
        <f t="shared" si="13"/>
        <v>0</v>
      </c>
      <c r="AA20" s="1015">
        <f t="shared" si="13"/>
        <v>2089</v>
      </c>
      <c r="AB20" s="1015">
        <f t="shared" si="13"/>
        <v>212</v>
      </c>
      <c r="AC20" s="1015">
        <f t="shared" si="13"/>
        <v>2301</v>
      </c>
      <c r="AD20" s="1015">
        <f t="shared" si="13"/>
        <v>0</v>
      </c>
      <c r="AE20" s="1019">
        <f t="shared" si="13"/>
        <v>0</v>
      </c>
      <c r="AF20" s="1012">
        <f t="shared" si="13"/>
        <v>0</v>
      </c>
      <c r="AG20" s="1020">
        <f t="shared" si="13"/>
        <v>0</v>
      </c>
      <c r="AH20" s="1017">
        <f t="shared" si="13"/>
        <v>0</v>
      </c>
      <c r="AI20" s="1012">
        <f t="shared" si="13"/>
        <v>201</v>
      </c>
      <c r="AJ20" s="1014">
        <f t="shared" si="13"/>
        <v>0</v>
      </c>
      <c r="AK20" s="1017">
        <f t="shared" si="13"/>
        <v>0</v>
      </c>
      <c r="AL20" s="1021">
        <f>IF(ISNUMBER(NºAsuntos!G20/NºAsuntos!E20),NºAsuntos!G20/NºAsuntos!E20," - ")</f>
        <v>0.98234624145785876</v>
      </c>
      <c r="AM20" s="1021">
        <f>IF(ISNUMBER(((NºAsuntos!I20/NºAsuntos!G20)*11)/factor_trimestre),((NºAsuntos!I20/NºAsuntos!G20)*11)/factor_trimestre," - ")</f>
        <v>3.6330434782608698</v>
      </c>
      <c r="AN20" s="1022">
        <f>IF(ISNUMBER('Resol  Asuntos'!D20/NºAsuntos!G20),'Resol  Asuntos'!D20/NºAsuntos!G20," - ")</f>
        <v>0.11652173913043479</v>
      </c>
      <c r="AO20" s="1023">
        <f>IF(ISNUMBER((NºAsuntos!C20+NºAsuntos!E20)/NºAsuntos!G20),(NºAsuntos!C20+NºAsuntos!E20)/NºAsuntos!G20," - ")</f>
        <v>2.1918840579710146</v>
      </c>
      <c r="AP20" s="1024" t="str">
        <f t="shared" si="2"/>
        <v xml:space="preserve"> - </v>
      </c>
      <c r="AQ20" s="1024">
        <f>IF(ISNUMBER((H20-W20+K20)/(F20)),(H20-W20+K20)/(F20)," - ")</f>
        <v>-0.94780219780219777</v>
      </c>
      <c r="AR20" s="1025">
        <f>IF(ISNUMBER((Datos!P20-Datos!Q20)/(Datos!R20-Datos!P20+Datos!Q20)),(Datos!P20-Datos!Q20)/(Datos!R20-Datos!P20+Datos!Q20)," - ")</f>
        <v>2.9126213592233011E-2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14</v>
      </c>
      <c r="F21" s="967">
        <f t="shared" si="15"/>
        <v>1942</v>
      </c>
      <c r="G21" s="968">
        <f t="shared" si="15"/>
        <v>2147</v>
      </c>
      <c r="H21" s="967">
        <f t="shared" si="15"/>
        <v>0</v>
      </c>
      <c r="I21" s="969">
        <f t="shared" si="15"/>
        <v>0</v>
      </c>
      <c r="J21" s="969">
        <f t="shared" si="15"/>
        <v>0</v>
      </c>
      <c r="K21" s="1028">
        <f t="shared" si="15"/>
        <v>0</v>
      </c>
      <c r="L21" s="969">
        <f t="shared" si="15"/>
        <v>425</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1734</v>
      </c>
      <c r="X21" s="968">
        <f t="shared" si="16"/>
        <v>349</v>
      </c>
      <c r="Y21" s="975">
        <f t="shared" si="16"/>
        <v>2083</v>
      </c>
      <c r="Z21" s="975">
        <f t="shared" si="16"/>
        <v>0</v>
      </c>
      <c r="AA21" s="975">
        <f t="shared" si="16"/>
        <v>2212</v>
      </c>
      <c r="AB21" s="975">
        <f t="shared" si="16"/>
        <v>8082</v>
      </c>
      <c r="AC21" s="975">
        <f t="shared" si="16"/>
        <v>2498</v>
      </c>
      <c r="AD21" s="975">
        <f t="shared" si="16"/>
        <v>0</v>
      </c>
      <c r="AE21" s="977">
        <f t="shared" si="16"/>
        <v>0</v>
      </c>
      <c r="AF21" s="978">
        <f t="shared" si="16"/>
        <v>0</v>
      </c>
      <c r="AG21" s="979">
        <f t="shared" si="16"/>
        <v>0</v>
      </c>
      <c r="AH21" s="977">
        <f t="shared" si="16"/>
        <v>0</v>
      </c>
      <c r="AI21" s="967">
        <f t="shared" si="16"/>
        <v>479</v>
      </c>
      <c r="AJ21" s="967">
        <f t="shared" si="16"/>
        <v>0</v>
      </c>
      <c r="AK21" s="977">
        <f t="shared" si="16"/>
        <v>0</v>
      </c>
      <c r="AL21" s="1031">
        <f>IF(ISNUMBER(NºAsuntos!G21/NºAsuntos!E21),NºAsuntos!G21/NºAsuntos!E21," - ")</f>
        <v>0.90754571207828993</v>
      </c>
      <c r="AM21" s="1032">
        <f>IF(ISNUMBER(((NºAsuntos!I21/NºAsuntos!G21)*11)/factor_trimestre),((NºAsuntos!I21/NºAsuntos!G21)*11)/factor_trimestre," - ")</f>
        <v>7.3305902383654944</v>
      </c>
      <c r="AN21" s="1032">
        <f>IF(ISNUMBER('Resol  Asuntos'!D21/NºAsuntos!G21),'Resol  Asuntos'!D21/NºAsuntos!G21," - ")</f>
        <v>0.13592508513053347</v>
      </c>
      <c r="AO21" s="1033">
        <f>IF(ISNUMBER((NºAsuntos!C21+NºAsuntos!E21)/NºAsuntos!G21),(NºAsuntos!C21+NºAsuntos!E21)/NºAsuntos!G21," - ")</f>
        <v>3.4341657207718503</v>
      </c>
      <c r="AP21" s="1034" t="str">
        <f t="shared" si="2"/>
        <v xml:space="preserve"> - </v>
      </c>
      <c r="AQ21" s="1035">
        <f>IF(OR(ISNUMBER(FIND("01",Criterios!A8,1)),ISNUMBER(FIND("02",Criterios!A8,1)),ISNUMBER(FIND("03",Criterios!A8,1)),ISNUMBER(FIND("04",Criterios!A8,1))),(I21-W21+K21)/(F21-K21),(H21-W21+K21)/(F21-K21))</f>
        <v>-0.89289392378990728</v>
      </c>
      <c r="AR21" s="1036">
        <f>IF(ISNUMBER((Datos!P21-Datos!Q21)/(Datos!R21-Datos!P21+Datos!Q21)),(Datos!P21-Datos!Q21)/(Datos!R21-Datos!P21+Datos!Q21)," - ")</f>
        <v>9.4928803397451907E-3</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858.8</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3.531674853766591</v>
      </c>
      <c r="F23" s="257">
        <f>IF(ISNUMBER(STDEV(F8:F20)),STDEV(F8:F20),"-")</f>
        <v>980.3407570839845</v>
      </c>
      <c r="G23" s="258">
        <f>IF(ISNUMBER(STDEV(G8:G20)),STDEV(G8:G20),"-")</f>
        <v>960.82240814835291</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918.59392551877897</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122.88151474760826</v>
      </c>
      <c r="AJ23" s="257">
        <f t="shared" si="20"/>
        <v>0</v>
      </c>
      <c r="AK23" s="259">
        <f t="shared" si="20"/>
        <v>0</v>
      </c>
      <c r="AL23" s="254">
        <f t="shared" si="20"/>
        <v>7.5659978540189674E-2</v>
      </c>
      <c r="AM23" s="255">
        <f t="shared" si="20"/>
        <v>13.942972258204774</v>
      </c>
      <c r="AN23" s="255">
        <f t="shared" si="20"/>
        <v>0.16940122622043113</v>
      </c>
      <c r="AO23" s="256">
        <f t="shared" si="20"/>
        <v>4.6535579920346937</v>
      </c>
      <c r="AP23" s="296" t="str">
        <f t="shared" si="20"/>
        <v>-</v>
      </c>
      <c r="AQ23" s="297">
        <f t="shared" si="20"/>
        <v>0.61803374628388252</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Kg7DTKsquvuASeONG+1DTUTjKdqvBv6aXYB3iCCTcH4gLkZYQ3SveYERSjO6be6qa5wt3Xw+U06mDIRAw4ugw==" saltValue="xarXy+J/USWZZwsMT1gQ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MARTORELL</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0.18446601941747573</v>
      </c>
      <c r="E10" s="358">
        <f>IF(ISNUMBER((Datos!J10-Datos!T10)/Datos!T10),(Datos!J10-Datos!T10)/Datos!T10," - ")</f>
        <v>-0.33333333333333331</v>
      </c>
      <c r="F10" s="358">
        <f>IF(ISNUMBER((Datos!K10-Datos!U10)/Datos!U10),(Datos!K10-Datos!U10)/Datos!U10," - ")</f>
        <v>-0.30769230769230771</v>
      </c>
      <c r="G10" s="359">
        <f>IF(ISNUMBER((Datos!L10-Datos!V10)/Datos!V10),(Datos!L10-Datos!V10)/Datos!V10," - ")</f>
        <v>0.17142857142857143</v>
      </c>
      <c r="H10" s="235">
        <f>IF(ISNUMBER((Datos!M10-Datos!W10)/Datos!W10),(Datos!M10-Datos!W10)/Datos!W10," - ")</f>
        <v>0.25</v>
      </c>
      <c r="I10" s="360">
        <f>IF(ISNUMBER((Tasas!C10-Datos!BE10)/Datos!BE10),(Tasas!C10-Datos!BE10)/Datos!BE10," - ")</f>
        <v>0.69206349206349205</v>
      </c>
      <c r="J10" s="359">
        <f>IF(ISNUMBER((Tasas!D10-Datos!BF10)/Datos!BF10),(Tasas!D10-Datos!BF10)/Datos!BF10," - ")</f>
        <v>0.80555555555555558</v>
      </c>
      <c r="K10" s="361">
        <f>IF(ISNUMBER((Tasas!E10-Datos!BG10)/Datos!BG10),(Tasas!E10-Datos!BG10)/Datos!BG10," - ")</f>
        <v>0.61581920903954801</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-7.77027027027027E-2</v>
      </c>
      <c r="I12" s="360">
        <f>IF(ISNUMBER((Tasas!C12-Datos!BE12)/Datos!BE12),(Tasas!C12-Datos!BE12)/Datos!BE12," - ")</f>
        <v>1.8480385116722134E-2</v>
      </c>
      <c r="J12" s="359">
        <f>IF(ISNUMBER((Tasas!D12-Datos!BF12)/Datos!BF12),(Tasas!D12-Datos!BF12)/Datos!BF12," - ")</f>
        <v>-0.66195955024397146</v>
      </c>
      <c r="K12" s="361">
        <f>IF(ISNUMBER((Tasas!E12-Datos!BG12)/Datos!BG12),(Tasas!E12-Datos!BG12)/Datos!BG12," - ")</f>
        <v>2.2801384949869049E-2</v>
      </c>
      <c r="M12" t="e">
        <f>IF(Monitorios="SI",Datos!CE12,0)</f>
        <v>#REF!</v>
      </c>
      <c r="N12" t="e">
        <f>IF(Monitorios="SI",Datos!CF12,0)</f>
        <v>#REF!</v>
      </c>
      <c r="O12" t="e">
        <f>IF(Monitorios="SI",Datos!CG12,0)</f>
        <v>#REF!</v>
      </c>
      <c r="P12" t="e">
        <f>IF(Monitorios="SI",Datos!CH12,0)</f>
        <v>#REF!</v>
      </c>
      <c r="Q12">
        <f>IF(J_V="SI",0,Datos!AG12)</f>
        <v>182</v>
      </c>
      <c r="R12">
        <f>IF(J_V="SI",0,Datos!AH12)</f>
        <v>206</v>
      </c>
      <c r="S12">
        <f>IF(J_V="SI",0,Datos!AI12)</f>
        <v>178</v>
      </c>
      <c r="T12">
        <f>IF(J_V="SI",0,Datos!AJ12)</f>
        <v>208</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-7.3333333333333334E-2</v>
      </c>
      <c r="I14" s="367">
        <f>IF(ISNUMBER((Tasas!C14-Datos!BE14)/Datos!BE14),(Tasas!C14-Datos!BE14)/Datos!BE14," - ")</f>
        <v>2.3054365776184027E-2</v>
      </c>
      <c r="J14" s="365">
        <f>IF(ISNUMBER((Tasas!D14-Datos!BF14)/Datos!BF14),(Tasas!D14-Datos!BF14)/Datos!BF14," - ")</f>
        <v>-0.65668584422076082</v>
      </c>
      <c r="K14" s="368">
        <f>IF(ISNUMBER((Tasas!E14-Datos!BG14)/Datos!BG14),(Tasas!E14-Datos!BG14)/Datos!BG14," - ")</f>
        <v>2.6303501945525339E-2</v>
      </c>
      <c r="M14" t="e">
        <f>IF(Monitorios="SI",Datos!CE14,0)</f>
        <v>#REF!</v>
      </c>
      <c r="N14" t="e">
        <f>IF(Monitorios="SI",Datos!CF14,0)</f>
        <v>#REF!</v>
      </c>
      <c r="O14" t="e">
        <f>IF(Monitorios="SI",Datos!CG14,0)</f>
        <v>#REF!</v>
      </c>
      <c r="P14" t="e">
        <f>IF(Monitorios="SI",Datos!CH14,0)</f>
        <v>#REF!</v>
      </c>
      <c r="Q14">
        <f>IF(J_V="SI",0,Datos!AG14)</f>
        <v>182</v>
      </c>
      <c r="R14">
        <f>IF(J_V="SI",0,Datos!AH14)</f>
        <v>206</v>
      </c>
      <c r="S14">
        <f>IF(J_V="SI",0,Datos!AI14)</f>
        <v>178</v>
      </c>
      <c r="T14">
        <f>IF(J_V="SI",0,Datos!AJ14)</f>
        <v>208</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0.20498988536749832</v>
      </c>
      <c r="E17" s="358">
        <f>IF(ISNUMBER(
   IF(D_I="SI",(Datos!J17-Datos!T17)/Datos!T17,(Datos!J17+Datos!AD17-(Datos!T17+Datos!AL17))/(Datos!T17+Datos!AL17))
     ),IF(D_I="SI",(Datos!J17-Datos!T17)/Datos!T17,(Datos!J17+Datos!AD17-(Datos!T17+Datos!AL17))/(Datos!T17+Datos!AL17))," - ")</f>
        <v>2.917933130699088E-2</v>
      </c>
      <c r="F17" s="358">
        <f>IF(ISNUMBER(
   IF(D_I="SI",(Datos!K17-Datos!U17)/Datos!U17,(Datos!K17+Datos!AE17-(Datos!U17+Datos!AM17))/(Datos!U17+Datos!AM17))
     ),IF(D_I="SI",(Datos!K17-Datos!U17)/Datos!U17,(Datos!K17+Datos!AE17-(Datos!U17+Datos!AM17))/(Datos!U17+Datos!AM17))," - ")</f>
        <v>-7.0000000000000007E-2</v>
      </c>
      <c r="G17" s="359">
        <f>IF(ISNUMBER(
   IF(D_I="SI",(Datos!L17-Datos!V17)/Datos!V17,(Datos!L17+Datos!AF17-(Datos!V17+Datos!AN17))/(Datos!V17+Datos!AN17))
     ),IF(D_I="SI",(Datos!L17-Datos!V17)/Datos!V17,(Datos!L17+Datos!AF17-(Datos!V17+Datos!AN17))/(Datos!V17+Datos!AN17))," - ")</f>
        <v>0.363232023721275</v>
      </c>
      <c r="H17" s="235">
        <f>IF(ISNUMBER((Datos!M17-Datos!W17)/Datos!W17),(Datos!M17-Datos!W17)/Datos!W17," - ")</f>
        <v>8.5714285714285715E-2</v>
      </c>
      <c r="I17" s="360">
        <f>IF(ISNUMBER((Tasas!C17-Datos!BE17)/Datos!BE17),(Tasas!C17-Datos!BE17)/Datos!BE17," - ")</f>
        <v>0.46584088572180105</v>
      </c>
      <c r="J17" s="359">
        <f>IF(ISNUMBER((Tasas!D17-Datos!BF17)/Datos!BF17),(Tasas!D17-Datos!BF17)/Datos!BF17," - ")</f>
        <v>0.16743471582181252</v>
      </c>
      <c r="K17" s="361">
        <f>IF(ISNUMBER((Tasas!E17-Datos!BG17)/Datos!BG17),(Tasas!E17-Datos!BG17)/Datos!BG17," - ")</f>
        <v>0.19627093474135796</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7.2072072072072071E-2</v>
      </c>
      <c r="E18" s="358">
        <f>IF(ISNUMBER(
   IF(D_I="SI",(Datos!J18-Datos!T18)/Datos!T18,(Datos!J18+Datos!AD18-(Datos!T18+Datos!AL18))/(Datos!T18+Datos!AL18))
     ),IF(D_I="SI",(Datos!J18-Datos!T18)/Datos!T18,(Datos!J18+Datos!AD18-(Datos!T18+Datos!AL18))/(Datos!T18+Datos!AL18))," - ")</f>
        <v>-0.4375</v>
      </c>
      <c r="F18" s="358">
        <f>IF(ISNUMBER(
   IF(D_I="SI",(Datos!K18-Datos!U18)/Datos!U18,(Datos!K18+Datos!AE18-(Datos!U18+Datos!AM18))/(Datos!U18+Datos!AM18))
     ),IF(D_I="SI",(Datos!K18-Datos!U18)/Datos!U18,(Datos!K18+Datos!AE18-(Datos!U18+Datos!AM18))/(Datos!U18+Datos!AM18))," - ")</f>
        <v>-0.54867256637168138</v>
      </c>
      <c r="G18" s="359">
        <f>IF(ISNUMBER(
   IF(D_I="SI",(Datos!L18-Datos!V18)/Datos!V18,(Datos!L18+Datos!AF18-(Datos!V18+Datos!AN18))/(Datos!V18+Datos!AN18))
     ),IF(D_I="SI",(Datos!L18-Datos!V18)/Datos!V18,(Datos!L18+Datos!AF18-(Datos!V18+Datos!AN18))/(Datos!V18+Datos!AN18))," - ")</f>
        <v>0.13122171945701358</v>
      </c>
      <c r="H18" s="235">
        <f>IF(ISNUMBER((Datos!M18-Datos!W18)/Datos!W18),(Datos!M18-Datos!W18)/Datos!W18," - ")</f>
        <v>4.5</v>
      </c>
      <c r="I18" s="360">
        <f>IF(ISNUMBER((Tasas!C18-Datos!BE18)/Datos!BE18),(Tasas!C18-Datos!BE18)/Datos!BE18," - ")</f>
        <v>1.5064324372282853</v>
      </c>
      <c r="J18" s="359">
        <f>IF(ISNUMBER((Tasas!D18-Datos!BF18)/Datos!BF18),(Tasas!D18-Datos!BF18)/Datos!BF18," - ")</f>
        <v>11.186274509803923</v>
      </c>
      <c r="K18" s="361">
        <f>IF(ISNUMBER((Tasas!E18-Datos!BG18)/Datos!BG18),(Tasas!E18-Datos!BG18)/Datos!BG18," - ")</f>
        <v>0.99677116355524242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0.18768328445747801</v>
      </c>
      <c r="E20" s="364">
        <f>IF(ISNUMBER(
   IF(D_I="SI",(Datos!J20-Datos!T20)/Datos!T20,(Datos!J20+Datos!AD20-(Datos!T20+Datos!AL20))/(Datos!T20+Datos!AL20))
     ),IF(D_I="SI",(Datos!J20-Datos!T20)/Datos!T20,(Datos!J20+Datos!AD20-(Datos!T20+Datos!AL20))/(Datos!T20+Datos!AL20))," - ")</f>
        <v>-5.6915196357427435E-4</v>
      </c>
      <c r="F20" s="364">
        <f>IF(ISNUMBER(
   IF(D_I="SI",(Datos!K20-Datos!U20)/Datos!U20,(Datos!K20+Datos!AE20-(Datos!U20+Datos!AM20))/(Datos!U20+Datos!AM20))
     ),IF(D_I="SI",(Datos!K20-Datos!U20)/Datos!U20,(Datos!K20+Datos!AE20-(Datos!U20+Datos!AM20))/(Datos!U20+Datos!AM20))," - ")</f>
        <v>-9.8274960794563507E-2</v>
      </c>
      <c r="G20" s="365">
        <f>IF(ISNUMBER(
   IF(D_I="SI",(Datos!L20-Datos!V20)/Datos!V20,(Datos!L20+Datos!AF20-(Datos!V20+Datos!AN20))/(Datos!V20+Datos!AN20))
     ),IF(D_I="SI",(Datos!L20-Datos!V20)/Datos!V20,(Datos!L20+Datos!AF20-(Datos!V20+Datos!AN20))/(Datos!V20+Datos!AN20))," - ")</f>
        <v>0.33057324840764329</v>
      </c>
      <c r="H20" s="366">
        <f>IF(ISNUMBER((Datos!M20-Datos!W20)/Datos!W20),(Datos!M20-Datos!W20)/Datos!W20," - ")</f>
        <v>0.13559322033898305</v>
      </c>
      <c r="I20" s="367">
        <f>IF(ISNUMBER((Tasas!C20-Datos!BE20)/Datos!BE20),(Tasas!C20-Datos!BE20)/Datos!BE20," - ")</f>
        <v>0.47558644881380974</v>
      </c>
      <c r="J20" s="365">
        <f>IF(ISNUMBER((Tasas!D20-Datos!BF20)/Datos!BF20),(Tasas!D20-Datos!BF20)/Datos!BF20," - ")</f>
        <v>0.25935642348317378</v>
      </c>
      <c r="K20" s="368">
        <f>IF(ISNUMBER((Tasas!E20-Datos!BG20)/Datos!BG20),(Tasas!E20-Datos!BG20)/Datos!BG20," - ")</f>
        <v>0.21117105802962194</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8.045221506507165E-2</v>
      </c>
      <c r="E21" s="373">
        <f>IF(ISNUMBER(
   IF(J_V="SI",(Datos!J21-Datos!T21)/Datos!T21,(Datos!J21+Datos!Z21-(Datos!T21+Datos!AH21))/(Datos!T21+Datos!AH21))
     ),IF(J_V="SI",(Datos!J21-Datos!T21)/Datos!T21,(Datos!J21+Datos!Z21-(Datos!T21+Datos!AH21))/(Datos!T21+Datos!AH21))," - ")</f>
        <v>2.049934296977661E-2</v>
      </c>
      <c r="F21" s="373">
        <f>IF(ISNUMBER(
   IF(J_V="SI",(Datos!K21-Datos!U21)/Datos!U21,(Datos!K21+Datos!AA21-(Datos!U21+Datos!AI21))/(Datos!U21+Datos!AI21))
     ),IF(J_V="SI",(Datos!K21-Datos!U21)/Datos!U21,(Datos!K21+Datos!AA21-(Datos!U21+Datos!AI21))/(Datos!U21+Datos!AI21))," - ")</f>
        <v>-4.1610008158825131E-2</v>
      </c>
      <c r="G21" s="374">
        <f>IF(ISNUMBER(
   IF(J_V="SI",(Datos!L21-Datos!V21)/Datos!V21,(Datos!L21+Datos!AB21-(Datos!V21+Datos!AJ21))/(Datos!V21+Datos!AJ21))
     ),IF(J_V="SI",(Datos!L21-Datos!V21)/Datos!V21,(Datos!L21+Datos!AB21-(Datos!V21+Datos!AJ21))/(Datos!V21+Datos!AJ21))," - ")</f>
        <v>0.10101010101010101</v>
      </c>
      <c r="H21" s="375">
        <f>IF(ISNUMBER((Datos!M21-Datos!W21)/Datos!W21),(Datos!M21-Datos!W21)/Datos!W21," - ")</f>
        <v>4.1928721174004195E-3</v>
      </c>
      <c r="I21" s="372">
        <f>IF(ISNUMBER((Tasas!C21-Datos!BE21)/Datos!BE21),(Tasas!C21-Datos!BE21)/Datos!BE21," - ")</f>
        <v>0.14881218541831473</v>
      </c>
      <c r="J21" s="373">
        <f>IF(ISNUMBER((Tasas!D21-Datos!BF21)/Datos!BF21),(Tasas!D21-Datos!BF21)/Datos!BF21," - ")</f>
        <v>-0.48527647989189326</v>
      </c>
      <c r="K21" s="374">
        <f>IF(ISNUMBER((Tasas!E21-Datos!BG21)/Datos!BG21),(Tasas!E21-Datos!BG21)/Datos!BG21," - ")</f>
        <v>0.10650432485787714</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6.0825293000577645E-2</v>
      </c>
      <c r="E23" s="283">
        <f t="shared" si="1"/>
        <v>0.23497894646181033</v>
      </c>
      <c r="F23" s="283">
        <f t="shared" si="1"/>
        <v>0.22196276821900965</v>
      </c>
      <c r="G23" s="284">
        <f t="shared" si="1"/>
        <v>0.11487986204885613</v>
      </c>
      <c r="H23" s="290">
        <f t="shared" si="1"/>
        <v>1.8153316560444526</v>
      </c>
      <c r="I23" s="282">
        <f t="shared" si="1"/>
        <v>0.54870902026425761</v>
      </c>
      <c r="J23" s="283">
        <f t="shared" si="1"/>
        <v>4.6089363967527763</v>
      </c>
      <c r="K23" s="284">
        <f t="shared" si="1"/>
        <v>0.38563155875664007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Lyq7z3kq57c/s/rmvmwOnYWl2JK7LolCef6/w6DhNTqqG2dxhyErzTc322Atc7YrH79bw691TrMmE6HFHwF5ww==" saltValue="rWKvA981WyCEY9n9E/QLb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122</v>
      </c>
      <c r="D10" s="230">
        <f>IF(ISNUMBER(Datos!I10),Datos!I10," - ")</f>
        <v>122</v>
      </c>
      <c r="E10" s="231">
        <f>IF(ISNUMBER(Datos!J10),Datos!J10," - ")</f>
        <v>10</v>
      </c>
      <c r="F10" s="231">
        <f>IF(ISNUMBER(Datos!K10),Datos!K10," - ")</f>
        <v>9</v>
      </c>
      <c r="G10" s="1193" t="str">
        <f>IF(Datos!E10&lt;&gt;"",Datos!E10,Datos!D10)</f>
        <v>37</v>
      </c>
      <c r="H10" s="232">
        <f>IF(ISNUMBER(Datos!L10),Datos!L10," - ")</f>
        <v>123</v>
      </c>
      <c r="I10" s="1203" t="str">
        <f>IF(ISNUMBER(Datos!AS10/Datos!BM10),Datos!AS10/Datos!BM10," - ")</f>
        <v xml:space="preserve"> - </v>
      </c>
      <c r="J10" s="1204">
        <f>IF(ISNUMBER(Datos!BY10/Datos!CN10),Datos!BY10/Datos!CN10," - ")</f>
        <v>0</v>
      </c>
      <c r="K10" s="235">
        <f t="shared" ref="K10:K13" si="1">IF(ISNUMBER((E10-F10)/C10),(E10-F10)/C10," - ")</f>
        <v>8.1967213114754103E-3</v>
      </c>
      <c r="L10" s="1205">
        <f>IF(ISNUMBER(NºAsuntos!I10/NºAsuntos!G10),(NºAsuntos!I10/NºAsuntos!G10)*11," - ")</f>
        <v>150.33333333333331</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7</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39.323463687150834</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122</v>
      </c>
      <c r="D14" s="1210">
        <f>SUBTOTAL(9,D9:D13)</f>
        <v>122</v>
      </c>
      <c r="E14" s="1211">
        <f>SUBTOTAL(9,E9:E13)</f>
        <v>10</v>
      </c>
      <c r="F14" s="1212">
        <f>SUBTOTAL(9,F9:F13)</f>
        <v>9</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7</v>
      </c>
      <c r="B17" s="1258" t="str">
        <f>Datos!A17</f>
        <v xml:space="preserve">Jdos. 1ª Instª. e Instr.                        </v>
      </c>
      <c r="C17" s="230">
        <f t="shared" si="2"/>
        <v>1820</v>
      </c>
      <c r="D17" s="230">
        <f>IF(ISNUMBER(IF(D_I="SI",Datos!I17,Datos!I17+Datos!AC17)),IF(D_I="SI",Datos!I17,Datos!I17+Datos!AC17)," - ")</f>
        <v>1787</v>
      </c>
      <c r="E17" s="231">
        <f>IF(ISNUMBER(IF(D_I="SI",Datos!J17,Datos!J17+Datos!AD17)),IF(D_I="SI",Datos!J17,Datos!J17+Datos!AD17)," - ")</f>
        <v>1693</v>
      </c>
      <c r="F17" s="231">
        <f>IF(ISNUMBER(IF(D_I="SI",Datos!K17,Datos!K17+Datos!AE17)),IF(D_I="SI",Datos!K17,Datos!K17+Datos!AE17)," - ")</f>
        <v>1674</v>
      </c>
      <c r="G17" s="1193" t="str">
        <f>IF(Datos!E17&lt;&gt;"",Datos!E17,Datos!D17)</f>
        <v>04</v>
      </c>
      <c r="H17" s="232">
        <f>IF(ISNUMBER(IF(D_I="SI",Datos!L17,Datos!L17+Datos!AF17)),IF(D_I="SI",Datos!L17,Datos!L17+Datos!AF17)," - ")</f>
        <v>1839</v>
      </c>
      <c r="I17" s="1203" t="str">
        <f>IF(ISNUMBER(Datos!AS17/Datos!BM17),Datos!AS17/Datos!BM17," - ")</f>
        <v xml:space="preserve"> - </v>
      </c>
      <c r="J17" s="1204">
        <f>IF(ISNUMBER(Datos!BY17/Datos!CN17),Datos!BY17/Datos!CN17," - ")</f>
        <v>0</v>
      </c>
      <c r="K17" s="235">
        <f t="shared" si="3"/>
        <v>1.0439560439560439E-2</v>
      </c>
      <c r="L17" s="1205">
        <f>IF(ISNUMBER(NºAsuntos!I17/NºAsuntos!G17),(NºAsuntos!I17/NºAsuntos!G17)*11," - ")</f>
        <v>12.084229390681003</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238</v>
      </c>
      <c r="D18" s="230">
        <f>IF(ISNUMBER(IF(D_I="SI",Datos!I18,Datos!I18+Datos!AC18)),IF(D_I="SI",Datos!I18,Datos!I18+Datos!AC18)," - ")</f>
        <v>238</v>
      </c>
      <c r="E18" s="231">
        <f>IF(ISNUMBER(IF(D_I="SI",Datos!J18,Datos!J18+Datos!AD18)),IF(D_I="SI",Datos!J18,Datos!J18+Datos!AD18)," - ")</f>
        <v>63</v>
      </c>
      <c r="F18" s="231">
        <f>IF(ISNUMBER(IF(D_I="SI",Datos!K18,Datos!K18+Datos!AE18)),IF(D_I="SI",Datos!K18,Datos!K18+Datos!AE18)," - ")</f>
        <v>51</v>
      </c>
      <c r="G18" s="1193" t="str">
        <f>IF(Datos!E18&lt;&gt;"",Datos!E18,Datos!D18)</f>
        <v>37</v>
      </c>
      <c r="H18" s="232">
        <f>IF(ISNUMBER(IF(D_I="SI",Datos!L18,Datos!L18+Datos!AF18)),IF(D_I="SI",Datos!L18,Datos!L18+Datos!AF18)," - ")</f>
        <v>250</v>
      </c>
      <c r="I18" s="1203" t="str">
        <f>IF(ISNUMBER(Datos!AS18/Datos!BM18),Datos!AS18/Datos!BM18," - ")</f>
        <v xml:space="preserve"> - </v>
      </c>
      <c r="J18" s="1204" t="str">
        <f>IF(ISNUMBER((Datos!BY18+Datos!BZ18)/Datos!CN18),(Datos!BY18+Datos!BZ18)/Datos!CN18," - ")</f>
        <v xml:space="preserve"> - </v>
      </c>
      <c r="K18" s="235">
        <f t="shared" si="3"/>
        <v>5.0420168067226892E-2</v>
      </c>
      <c r="L18" s="1205">
        <f>IF(ISNUMBER(NºAsuntos!I18/NºAsuntos!G18),(NºAsuntos!I18/NºAsuntos!G18)*11," - ")</f>
        <v>53.921568627450981</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2058</v>
      </c>
      <c r="D20" s="1210">
        <f>SUBTOTAL(9,D16:D19)</f>
        <v>2025</v>
      </c>
      <c r="E20" s="1211">
        <f>SUBTOTAL(9,E16:E19)</f>
        <v>1756</v>
      </c>
      <c r="F20" s="1211">
        <f>SUBTOTAL(9,F16:F19)</f>
        <v>1725</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2180</v>
      </c>
      <c r="D21" s="1232">
        <f>SUBTOTAL(9,D9:D20)</f>
        <v>2147</v>
      </c>
      <c r="E21" s="1233">
        <f>SUBTOTAL(9,E9:E20)</f>
        <v>1766</v>
      </c>
      <c r="F21" s="1233">
        <f>SUBTOTAL(9,F9:F20)</f>
        <v>1734</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hOFaYBK6ZhQJl0y9CygZ/l1annZqEg6IHn60NYB7G4AaVd5vZo/emJRDIiw1q0vtzKFbkBRqv0nacUW5FyMw==" saltValue="gz5xrYml6M22uQv7a/2dM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x8eoghcHxZbzevmsCvUkQiLJ8AwMaOOjTOsvoTXHqJ6oFNcdrZdg5TRcYJhzsUKKb/uAQZ+nWslune6gxItvCw==" saltValue="dqGl5FfjtSrsqYB8e6iv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122</v>
      </c>
      <c r="J10" s="186">
        <v>10</v>
      </c>
      <c r="K10" s="186">
        <v>9</v>
      </c>
      <c r="L10" s="186">
        <v>123</v>
      </c>
      <c r="M10" s="186">
        <v>5</v>
      </c>
      <c r="N10" s="186">
        <v>0</v>
      </c>
      <c r="O10" s="186">
        <v>0</v>
      </c>
      <c r="P10" s="186">
        <v>4</v>
      </c>
      <c r="Q10" s="186">
        <v>0</v>
      </c>
      <c r="R10" s="186">
        <v>74</v>
      </c>
      <c r="S10" s="186">
        <v>103</v>
      </c>
      <c r="T10" s="186">
        <v>15</v>
      </c>
      <c r="U10" s="186">
        <v>13</v>
      </c>
      <c r="V10" s="186">
        <v>105</v>
      </c>
      <c r="W10" s="186">
        <v>4</v>
      </c>
      <c r="X10" s="193">
        <v>8</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103</v>
      </c>
      <c r="AZ10" s="131">
        <f t="shared" si="0"/>
        <v>15</v>
      </c>
      <c r="BA10" s="131">
        <f t="shared" si="0"/>
        <v>13</v>
      </c>
      <c r="BB10" s="131">
        <f t="shared" si="0"/>
        <v>105</v>
      </c>
      <c r="BC10" s="127">
        <f t="shared" si="0"/>
        <v>4</v>
      </c>
      <c r="BD10" s="128">
        <f>IF(ISNUMBER(BA10/AZ10),BA10/AZ10," - ")</f>
        <v>0.8666666666666667</v>
      </c>
      <c r="BE10" s="129">
        <f>IF(ISNUMBER(BB10/BA10),BB10/BA10, " - ")</f>
        <v>8.0769230769230766</v>
      </c>
      <c r="BF10" s="129">
        <f>IF(ISNUMBER(BC10/BA10),BC10/BA10, " - ")</f>
        <v>0.30769230769230771</v>
      </c>
      <c r="BG10" s="201">
        <f>IF(ISNUMBER((AY10+AZ10)/BA10),(AY10+AZ10)/BA10," - ")</f>
        <v>9.0769230769230766</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5893</v>
      </c>
      <c r="J12" s="188">
        <v>1845</v>
      </c>
      <c r="K12" s="188">
        <v>1560</v>
      </c>
      <c r="L12" s="188">
        <v>6178</v>
      </c>
      <c r="M12" s="188">
        <v>273</v>
      </c>
      <c r="N12" s="188">
        <v>855</v>
      </c>
      <c r="O12" s="186">
        <v>704</v>
      </c>
      <c r="P12" s="188">
        <v>370</v>
      </c>
      <c r="Q12" s="188">
        <v>304</v>
      </c>
      <c r="R12" s="188">
        <v>7796</v>
      </c>
      <c r="S12" s="188">
        <v>5617</v>
      </c>
      <c r="T12" s="188">
        <v>1827</v>
      </c>
      <c r="U12" s="188">
        <v>1573</v>
      </c>
      <c r="V12" s="188">
        <v>5938</v>
      </c>
      <c r="W12" s="188">
        <v>296</v>
      </c>
      <c r="X12" s="194">
        <v>790</v>
      </c>
      <c r="Y12" s="196">
        <v>179</v>
      </c>
      <c r="Z12" s="186">
        <v>272</v>
      </c>
      <c r="AA12" s="186">
        <v>230</v>
      </c>
      <c r="AB12" s="186">
        <v>221</v>
      </c>
      <c r="AC12" s="188">
        <v>0</v>
      </c>
      <c r="AD12" s="188">
        <v>0</v>
      </c>
      <c r="AE12" s="188">
        <v>0</v>
      </c>
      <c r="AF12" s="194">
        <v>0</v>
      </c>
      <c r="AG12" s="207">
        <v>182</v>
      </c>
      <c r="AH12" s="188">
        <v>206</v>
      </c>
      <c r="AI12" s="188">
        <v>178</v>
      </c>
      <c r="AJ12" s="208">
        <v>208</v>
      </c>
      <c r="AK12" s="187">
        <v>0</v>
      </c>
      <c r="AL12" s="188">
        <v>0</v>
      </c>
      <c r="AM12" s="188">
        <v>0</v>
      </c>
      <c r="AN12" s="194">
        <v>0</v>
      </c>
      <c r="AO12" s="264">
        <v>7</v>
      </c>
      <c r="AP12" s="160">
        <v>7</v>
      </c>
      <c r="AQ12" s="160">
        <v>7</v>
      </c>
      <c r="AR12" s="159">
        <v>7</v>
      </c>
      <c r="AS12" s="350" t="s">
        <v>874</v>
      </c>
      <c r="AT12" s="208"/>
      <c r="AU12" s="207"/>
      <c r="AV12" s="208"/>
      <c r="AW12" s="207"/>
      <c r="AX12" s="208"/>
      <c r="AY12" s="128">
        <f t="shared" si="1"/>
        <v>5799</v>
      </c>
      <c r="AZ12" s="129">
        <f t="shared" si="1"/>
        <v>2033</v>
      </c>
      <c r="BA12" s="129">
        <f t="shared" si="1"/>
        <v>1751</v>
      </c>
      <c r="BB12" s="129">
        <f t="shared" si="1"/>
        <v>6146</v>
      </c>
      <c r="BC12" s="127">
        <f>IF(ISNUMBER(X12),X12," - ")</f>
        <v>790</v>
      </c>
      <c r="BD12" s="128">
        <f t="shared" si="2"/>
        <v>0.86128873585833743</v>
      </c>
      <c r="BE12" s="129">
        <f t="shared" si="3"/>
        <v>3.5099942889777269</v>
      </c>
      <c r="BF12" s="129">
        <f t="shared" si="4"/>
        <v>0.45117075956596231</v>
      </c>
      <c r="BG12" s="201">
        <f t="shared" si="5"/>
        <v>4.4728726442033127</v>
      </c>
      <c r="BH12" s="160">
        <v>7</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6015</v>
      </c>
      <c r="J14" s="189">
        <f t="shared" si="7"/>
        <v>1855</v>
      </c>
      <c r="K14" s="189">
        <f t="shared" si="7"/>
        <v>1569</v>
      </c>
      <c r="L14" s="189">
        <f t="shared" si="7"/>
        <v>6301</v>
      </c>
      <c r="M14" s="189">
        <f t="shared" si="7"/>
        <v>278</v>
      </c>
      <c r="N14" s="189">
        <f t="shared" si="7"/>
        <v>855</v>
      </c>
      <c r="O14" s="189">
        <f t="shared" si="7"/>
        <v>704</v>
      </c>
      <c r="P14" s="189">
        <f t="shared" si="7"/>
        <v>374</v>
      </c>
      <c r="Q14" s="189">
        <f t="shared" si="7"/>
        <v>304</v>
      </c>
      <c r="R14" s="189">
        <f t="shared" si="7"/>
        <v>7870</v>
      </c>
      <c r="S14" s="189">
        <f t="shared" si="7"/>
        <v>5720</v>
      </c>
      <c r="T14" s="189">
        <f t="shared" si="7"/>
        <v>1842</v>
      </c>
      <c r="U14" s="189">
        <f t="shared" si="7"/>
        <v>1586</v>
      </c>
      <c r="V14" s="189">
        <f t="shared" si="7"/>
        <v>6043</v>
      </c>
      <c r="W14" s="189">
        <f t="shared" si="7"/>
        <v>300</v>
      </c>
      <c r="X14" s="189">
        <f t="shared" si="7"/>
        <v>798</v>
      </c>
      <c r="Y14" s="189">
        <f t="shared" si="7"/>
        <v>179</v>
      </c>
      <c r="Z14" s="189">
        <f t="shared" si="7"/>
        <v>272</v>
      </c>
      <c r="AA14" s="189">
        <f t="shared" si="7"/>
        <v>230</v>
      </c>
      <c r="AB14" s="189">
        <f t="shared" si="7"/>
        <v>221</v>
      </c>
      <c r="AC14" s="189">
        <f t="shared" si="7"/>
        <v>0</v>
      </c>
      <c r="AD14" s="189">
        <f t="shared" si="7"/>
        <v>0</v>
      </c>
      <c r="AE14" s="189">
        <f t="shared" si="7"/>
        <v>0</v>
      </c>
      <c r="AF14" s="189">
        <f>SUBTOTAL(9,AF9:AF13)</f>
        <v>0</v>
      </c>
      <c r="AG14" s="189">
        <f t="shared" ref="AG14:AT14" si="8">SUBTOTAL(9,AG8:AG13)</f>
        <v>182</v>
      </c>
      <c r="AH14" s="189">
        <f t="shared" si="8"/>
        <v>206</v>
      </c>
      <c r="AI14" s="189">
        <f t="shared" si="8"/>
        <v>178</v>
      </c>
      <c r="AJ14" s="189">
        <f t="shared" si="8"/>
        <v>208</v>
      </c>
      <c r="AK14" s="189">
        <f t="shared" si="8"/>
        <v>0</v>
      </c>
      <c r="AL14" s="189">
        <f t="shared" si="8"/>
        <v>0</v>
      </c>
      <c r="AM14" s="189">
        <f t="shared" si="8"/>
        <v>0</v>
      </c>
      <c r="AN14" s="189">
        <f t="shared" si="8"/>
        <v>0</v>
      </c>
      <c r="AO14" s="189">
        <f t="shared" si="8"/>
        <v>8</v>
      </c>
      <c r="AP14" s="189">
        <f t="shared" si="8"/>
        <v>7</v>
      </c>
      <c r="AQ14" s="189">
        <f t="shared" si="8"/>
        <v>7</v>
      </c>
      <c r="AR14" s="189">
        <f t="shared" si="8"/>
        <v>7</v>
      </c>
      <c r="AS14" s="189">
        <f t="shared" si="8"/>
        <v>0</v>
      </c>
      <c r="AT14" s="189">
        <f t="shared" si="8"/>
        <v>0</v>
      </c>
      <c r="AU14" s="209"/>
      <c r="AV14" s="134"/>
      <c r="AW14" s="209"/>
      <c r="AX14" s="134"/>
      <c r="AY14" s="189">
        <f>SUBTOTAL(9,AY8:AY13)</f>
        <v>5902</v>
      </c>
      <c r="AZ14" s="189">
        <f>SUBTOTAL(9,AZ8:AZ13)</f>
        <v>2048</v>
      </c>
      <c r="BA14" s="189">
        <f>SUBTOTAL(9,BA8:BA13)</f>
        <v>1764</v>
      </c>
      <c r="BB14" s="189">
        <f>SUBTOTAL(9,BB8:BB13)</f>
        <v>6251</v>
      </c>
      <c r="BC14" s="189">
        <f>SUBTOTAL(9,BC8:BC13)</f>
        <v>794</v>
      </c>
      <c r="BD14" s="210">
        <f>IF(ISNUMBER(BA14/AZ14),BA14/AZ14," - ")</f>
        <v>0.861328125</v>
      </c>
      <c r="BE14" s="211">
        <f>IF(ISNUMBER(BB14/BA14),BB14/BA14, " - ")</f>
        <v>3.5436507936507935</v>
      </c>
      <c r="BF14" s="211">
        <f>IF(ISNUMBER(BC14/BA14),BC14/BA14, " - ")</f>
        <v>0.45011337868480727</v>
      </c>
      <c r="BG14" s="212">
        <f>IF(ISNUMBER((AY14+AZ14)/BA14),(AY14+AZ14)/BA14," - ")</f>
        <v>4.5068027210884356</v>
      </c>
      <c r="BH14" s="145">
        <f>SUBTOTAL(9,BH8:BH13)</f>
        <v>8</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1787</v>
      </c>
      <c r="J17" s="188">
        <v>1693</v>
      </c>
      <c r="K17" s="188">
        <v>1674</v>
      </c>
      <c r="L17" s="188">
        <v>1839</v>
      </c>
      <c r="M17" s="188">
        <v>190</v>
      </c>
      <c r="N17" s="188">
        <v>1166</v>
      </c>
      <c r="O17" s="186">
        <v>17</v>
      </c>
      <c r="P17" s="188">
        <v>51</v>
      </c>
      <c r="Q17" s="188">
        <v>45</v>
      </c>
      <c r="R17" s="188">
        <v>211</v>
      </c>
      <c r="S17" s="188">
        <v>1483</v>
      </c>
      <c r="T17" s="188">
        <v>1645</v>
      </c>
      <c r="U17" s="188">
        <v>1800</v>
      </c>
      <c r="V17" s="188">
        <v>1349</v>
      </c>
      <c r="W17" s="188">
        <v>175</v>
      </c>
      <c r="X17" s="194">
        <v>1141</v>
      </c>
      <c r="Y17" s="207">
        <v>0</v>
      </c>
      <c r="Z17" s="188">
        <v>0</v>
      </c>
      <c r="AA17" s="188">
        <v>0</v>
      </c>
      <c r="AB17" s="188">
        <v>0</v>
      </c>
      <c r="AC17" s="188">
        <v>6</v>
      </c>
      <c r="AD17" s="188">
        <v>140</v>
      </c>
      <c r="AE17" s="188">
        <v>89</v>
      </c>
      <c r="AF17" s="194">
        <v>57</v>
      </c>
      <c r="AG17" s="207">
        <v>0</v>
      </c>
      <c r="AH17" s="188">
        <v>0</v>
      </c>
      <c r="AI17" s="188">
        <v>0</v>
      </c>
      <c r="AJ17" s="208">
        <v>0</v>
      </c>
      <c r="AK17" s="187">
        <v>9</v>
      </c>
      <c r="AL17" s="188">
        <v>89</v>
      </c>
      <c r="AM17" s="188">
        <v>77</v>
      </c>
      <c r="AN17" s="194">
        <v>21</v>
      </c>
      <c r="AO17" s="264">
        <v>7</v>
      </c>
      <c r="AP17" s="160">
        <v>7</v>
      </c>
      <c r="AQ17" s="160">
        <v>7</v>
      </c>
      <c r="AR17" s="160">
        <v>7</v>
      </c>
      <c r="AS17" s="350" t="s">
        <v>545</v>
      </c>
      <c r="AT17" s="208"/>
      <c r="AU17" s="207"/>
      <c r="AV17" s="208"/>
      <c r="AW17" s="207"/>
      <c r="AX17" s="208"/>
      <c r="AY17" s="128">
        <f t="shared" si="10"/>
        <v>1483</v>
      </c>
      <c r="AZ17" s="129">
        <f t="shared" si="10"/>
        <v>1645</v>
      </c>
      <c r="BA17" s="129">
        <f t="shared" si="10"/>
        <v>1800</v>
      </c>
      <c r="BB17" s="129">
        <f t="shared" si="10"/>
        <v>1349</v>
      </c>
      <c r="BC17" s="127">
        <f>IF(ISNUMBER(W17),W17," - ")</f>
        <v>175</v>
      </c>
      <c r="BD17" s="128">
        <f t="shared" ref="BD17:BD19" si="12">IF(ISNUMBER(BA17/AZ17),BA17/AZ17," - ")</f>
        <v>1.094224924012158</v>
      </c>
      <c r="BE17" s="129">
        <f t="shared" ref="BE17:BE19" si="13">IF(ISNUMBER(BB17/BA17),BB17/BA17, " - ")</f>
        <v>0.74944444444444447</v>
      </c>
      <c r="BF17" s="129">
        <f t="shared" ref="BF17:BF19" si="14">IF(ISNUMBER(BC17/BA17),BC17/BA17, " - ")</f>
        <v>9.7222222222222224E-2</v>
      </c>
      <c r="BG17" s="201">
        <f t="shared" si="11"/>
        <v>1.7377777777777779</v>
      </c>
      <c r="BH17" s="160">
        <v>7</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238</v>
      </c>
      <c r="J18" s="188">
        <v>63</v>
      </c>
      <c r="K18" s="188">
        <v>51</v>
      </c>
      <c r="L18" s="188">
        <v>250</v>
      </c>
      <c r="M18" s="188">
        <v>11</v>
      </c>
      <c r="N18" s="188">
        <v>39</v>
      </c>
      <c r="O18" s="188">
        <v>0</v>
      </c>
      <c r="P18" s="188">
        <v>0</v>
      </c>
      <c r="Q18" s="188">
        <v>0</v>
      </c>
      <c r="R18" s="188">
        <v>1</v>
      </c>
      <c r="S18" s="188">
        <v>222</v>
      </c>
      <c r="T18" s="188">
        <v>112</v>
      </c>
      <c r="U18" s="188">
        <v>113</v>
      </c>
      <c r="V18" s="188">
        <v>221</v>
      </c>
      <c r="W18" s="188">
        <v>2</v>
      </c>
      <c r="X18" s="194">
        <v>69</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222</v>
      </c>
      <c r="AZ18" s="131">
        <f t="shared" si="15"/>
        <v>112</v>
      </c>
      <c r="BA18" s="131">
        <f t="shared" si="15"/>
        <v>113</v>
      </c>
      <c r="BB18" s="131">
        <f t="shared" si="15"/>
        <v>221</v>
      </c>
      <c r="BC18" s="127">
        <f>IF(ISNUMBER(W18),W18," - ")</f>
        <v>2</v>
      </c>
      <c r="BD18" s="128">
        <f>IF(ISNUMBER(BA18/AZ18),BA18/AZ18," - ")</f>
        <v>1.0089285714285714</v>
      </c>
      <c r="BE18" s="129">
        <f>IF(ISNUMBER(BB18/BA18),BB18/BA18, " - ")</f>
        <v>1.9557522123893805</v>
      </c>
      <c r="BF18" s="129">
        <f>IF(ISNUMBER(BC18/BA18),BC18/BA18, " - ")</f>
        <v>1.7699115044247787E-2</v>
      </c>
      <c r="BG18" s="201">
        <f>IF(ISNUMBER((AY18+AZ18)/BA18),(AY18+AZ18)/BA18," - ")</f>
        <v>2.9557522123893807</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2025</v>
      </c>
      <c r="J20" s="189">
        <f t="shared" si="16"/>
        <v>1756</v>
      </c>
      <c r="K20" s="189">
        <f t="shared" si="16"/>
        <v>1725</v>
      </c>
      <c r="L20" s="189">
        <f t="shared" si="16"/>
        <v>2089</v>
      </c>
      <c r="M20" s="189">
        <f t="shared" si="16"/>
        <v>201</v>
      </c>
      <c r="N20" s="189">
        <f t="shared" si="16"/>
        <v>1205</v>
      </c>
      <c r="O20" s="189">
        <f t="shared" si="16"/>
        <v>17</v>
      </c>
      <c r="P20" s="189">
        <f t="shared" si="16"/>
        <v>51</v>
      </c>
      <c r="Q20" s="189">
        <f t="shared" si="16"/>
        <v>45</v>
      </c>
      <c r="R20" s="189">
        <f t="shared" si="16"/>
        <v>212</v>
      </c>
      <c r="S20" s="189">
        <f t="shared" si="16"/>
        <v>1705</v>
      </c>
      <c r="T20" s="189">
        <f t="shared" si="16"/>
        <v>1757</v>
      </c>
      <c r="U20" s="189">
        <f t="shared" si="16"/>
        <v>1913</v>
      </c>
      <c r="V20" s="189">
        <f t="shared" si="16"/>
        <v>1570</v>
      </c>
      <c r="W20" s="189">
        <f t="shared" si="16"/>
        <v>177</v>
      </c>
      <c r="X20" s="189">
        <f t="shared" si="16"/>
        <v>1210</v>
      </c>
      <c r="Y20" s="189">
        <f t="shared" si="16"/>
        <v>0</v>
      </c>
      <c r="Z20" s="189">
        <f t="shared" si="16"/>
        <v>0</v>
      </c>
      <c r="AA20" s="189">
        <f t="shared" si="16"/>
        <v>0</v>
      </c>
      <c r="AB20" s="189">
        <f t="shared" si="16"/>
        <v>0</v>
      </c>
      <c r="AC20" s="189">
        <f t="shared" si="16"/>
        <v>6</v>
      </c>
      <c r="AD20" s="189">
        <f t="shared" si="16"/>
        <v>140</v>
      </c>
      <c r="AE20" s="189">
        <f t="shared" si="16"/>
        <v>89</v>
      </c>
      <c r="AF20" s="189">
        <f t="shared" si="16"/>
        <v>57</v>
      </c>
      <c r="AG20" s="189">
        <f t="shared" si="16"/>
        <v>0</v>
      </c>
      <c r="AH20" s="189">
        <f t="shared" si="16"/>
        <v>0</v>
      </c>
      <c r="AI20" s="189">
        <f t="shared" si="16"/>
        <v>0</v>
      </c>
      <c r="AJ20" s="189">
        <f t="shared" si="16"/>
        <v>0</v>
      </c>
      <c r="AK20" s="189">
        <f t="shared" si="16"/>
        <v>9</v>
      </c>
      <c r="AL20" s="189">
        <f t="shared" si="16"/>
        <v>89</v>
      </c>
      <c r="AM20" s="189">
        <f t="shared" si="16"/>
        <v>77</v>
      </c>
      <c r="AN20" s="189">
        <f t="shared" si="16"/>
        <v>21</v>
      </c>
      <c r="AO20" s="189">
        <f t="shared" si="16"/>
        <v>8</v>
      </c>
      <c r="AP20" s="189">
        <f t="shared" si="16"/>
        <v>7</v>
      </c>
      <c r="AQ20" s="189">
        <f t="shared" si="16"/>
        <v>7</v>
      </c>
      <c r="AR20" s="189">
        <f t="shared" si="16"/>
        <v>7</v>
      </c>
      <c r="AS20" s="189">
        <f t="shared" si="16"/>
        <v>0</v>
      </c>
      <c r="AT20" s="189">
        <f t="shared" si="16"/>
        <v>0</v>
      </c>
      <c r="AU20" s="209"/>
      <c r="AV20" s="134"/>
      <c r="AW20" s="209"/>
      <c r="AX20" s="134"/>
      <c r="AY20" s="189">
        <f>SUBTOTAL(9,AY15:AY19)</f>
        <v>1705</v>
      </c>
      <c r="AZ20" s="189">
        <f>SUBTOTAL(9,AZ15:AZ19)</f>
        <v>1757</v>
      </c>
      <c r="BA20" s="189">
        <f>SUBTOTAL(9,BA15:BA19)</f>
        <v>1913</v>
      </c>
      <c r="BB20" s="189">
        <f>SUBTOTAL(9,BB15:BB19)</f>
        <v>1570</v>
      </c>
      <c r="BC20" s="189">
        <f>SUBTOTAL(9,BC15:BC19)</f>
        <v>177</v>
      </c>
      <c r="BD20" s="210">
        <f>IF(ISNUMBER(BA20/AZ20),BA20/AZ20," - ")</f>
        <v>1.0887877063175868</v>
      </c>
      <c r="BE20" s="211">
        <f>IF(ISNUMBER(BB20/BA20),BB20/BA20, " - ")</f>
        <v>0.82070047046523786</v>
      </c>
      <c r="BF20" s="211">
        <f>IF(ISNUMBER(BC20/BA20),BC20/BA20, " - ")</f>
        <v>9.2524830109775219E-2</v>
      </c>
      <c r="BG20" s="212">
        <f>IF(ISNUMBER((AY20+AZ20)/BA20),(AY20+AZ20)/BA20," - ")</f>
        <v>1.8097229482488237</v>
      </c>
      <c r="BH20" s="189">
        <f>SUBTOTAL(9,BH15:BH19)</f>
        <v>8</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8040</v>
      </c>
      <c r="J21" s="136">
        <f t="shared" si="19"/>
        <v>3611</v>
      </c>
      <c r="K21" s="136">
        <f t="shared" si="19"/>
        <v>3294</v>
      </c>
      <c r="L21" s="136">
        <f t="shared" si="19"/>
        <v>8390</v>
      </c>
      <c r="M21" s="136">
        <f t="shared" si="19"/>
        <v>479</v>
      </c>
      <c r="N21" s="136">
        <f t="shared" si="19"/>
        <v>2060</v>
      </c>
      <c r="O21" s="136">
        <f t="shared" si="19"/>
        <v>721</v>
      </c>
      <c r="P21" s="136">
        <f t="shared" si="19"/>
        <v>425</v>
      </c>
      <c r="Q21" s="136">
        <f t="shared" si="19"/>
        <v>349</v>
      </c>
      <c r="R21" s="136">
        <f t="shared" si="19"/>
        <v>8082</v>
      </c>
      <c r="S21" s="136">
        <f t="shared" si="19"/>
        <v>7425</v>
      </c>
      <c r="T21" s="136">
        <f t="shared" si="19"/>
        <v>3599</v>
      </c>
      <c r="U21" s="136">
        <f t="shared" si="19"/>
        <v>3499</v>
      </c>
      <c r="V21" s="136">
        <f t="shared" si="19"/>
        <v>7613</v>
      </c>
      <c r="W21" s="136">
        <f t="shared" si="19"/>
        <v>477</v>
      </c>
      <c r="X21" s="136">
        <f t="shared" si="19"/>
        <v>2008</v>
      </c>
      <c r="Y21" s="136">
        <f t="shared" si="19"/>
        <v>179</v>
      </c>
      <c r="Z21" s="136">
        <f t="shared" si="19"/>
        <v>272</v>
      </c>
      <c r="AA21" s="136">
        <f t="shared" si="19"/>
        <v>230</v>
      </c>
      <c r="AB21" s="136">
        <f t="shared" si="19"/>
        <v>221</v>
      </c>
      <c r="AC21" s="136">
        <f t="shared" si="19"/>
        <v>6</v>
      </c>
      <c r="AD21" s="136">
        <f t="shared" si="19"/>
        <v>140</v>
      </c>
      <c r="AE21" s="136">
        <f t="shared" si="19"/>
        <v>89</v>
      </c>
      <c r="AF21" s="136">
        <f t="shared" si="19"/>
        <v>57</v>
      </c>
      <c r="AG21" s="136">
        <f t="shared" si="19"/>
        <v>182</v>
      </c>
      <c r="AH21" s="136">
        <f t="shared" si="19"/>
        <v>206</v>
      </c>
      <c r="AI21" s="136">
        <f t="shared" si="19"/>
        <v>178</v>
      </c>
      <c r="AJ21" s="136">
        <f t="shared" si="19"/>
        <v>208</v>
      </c>
      <c r="AK21" s="136">
        <f t="shared" si="19"/>
        <v>9</v>
      </c>
      <c r="AL21" s="136">
        <f t="shared" si="19"/>
        <v>89</v>
      </c>
      <c r="AM21" s="136">
        <f t="shared" si="19"/>
        <v>77</v>
      </c>
      <c r="AN21" s="215">
        <f t="shared" si="19"/>
        <v>21</v>
      </c>
      <c r="AO21" s="216">
        <v>8</v>
      </c>
      <c r="AP21" s="216">
        <v>7</v>
      </c>
      <c r="AQ21" s="216">
        <v>7</v>
      </c>
      <c r="AR21" s="216">
        <v>7</v>
      </c>
      <c r="AS21" s="158">
        <f t="shared" si="19"/>
        <v>0</v>
      </c>
      <c r="AT21" s="158">
        <f t="shared" si="19"/>
        <v>0</v>
      </c>
      <c r="AU21" s="216"/>
      <c r="AV21" s="217"/>
      <c r="AW21" s="216"/>
      <c r="AX21" s="217"/>
      <c r="AY21" s="135">
        <f>SUBTOTAL(9,AY9:AY20)</f>
        <v>7607</v>
      </c>
      <c r="AZ21" s="136">
        <f>SUBTOTAL(9,AZ9:AZ20)</f>
        <v>3805</v>
      </c>
      <c r="BA21" s="136">
        <f>SUBTOTAL(9,BA9:BA20)</f>
        <v>3677</v>
      </c>
      <c r="BB21" s="136">
        <f>SUBTOTAL(9,BB9:BB20)</f>
        <v>7821</v>
      </c>
      <c r="BC21" s="137">
        <f>SUBTOTAL(9,BC9:BC20)</f>
        <v>971</v>
      </c>
      <c r="BD21" s="218">
        <f>IF(ISNUMBER(BA21/AZ21),BA21/AZ21," - ")</f>
        <v>0.96636005256241786</v>
      </c>
      <c r="BE21" s="215">
        <f>IF(ISNUMBER(BB21/BA21),BB21/BA21, " - ")</f>
        <v>2.1270057111775906</v>
      </c>
      <c r="BF21" s="215">
        <f>IF(ISNUMBER(BC21/BA21),BC21/BA21, " - ")</f>
        <v>0.26407397334783789</v>
      </c>
      <c r="BG21" s="137">
        <f>IF(ISNUMBER((AY21+AZ21)/BA21),(AY21+AZ21)/BA21," - ")</f>
        <v>3.1036170791406037</v>
      </c>
      <c r="BH21" s="216">
        <f>SUBTOTAL(9,BH9:BH20)</f>
        <v>16</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eb03UvuY13GL/GmfEXWGhxI7e1OjNUuhcmXSNCcwZ8HPgdhXeQwMkx6BJZkl6l4CVnQeEwwF5lyLtcI20wGEog==" saltValue="pu6U11Iu+VD60YAnvdXzS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8pSsIPn9QHD/WLtoJEYWk+1+dIYY+ySoDCQAaPBIArAhdW27jr9rTjxXt46GDE4M0Ge5xx8O84SvEyBjOyHhAw==" saltValue="rxbfE97lxfA5NzSLBYeil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MARTORELL</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122</v>
      </c>
      <c r="G10" s="498">
        <f>IF(ISNUMBER(Datos!I10),Datos!I10," - ")</f>
        <v>122</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4</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9</v>
      </c>
      <c r="AC10" s="502">
        <f>IF(ISNUMBER(Datos!Q10),Datos!Q10," - ")</f>
        <v>0</v>
      </c>
      <c r="AD10" s="504"/>
      <c r="AE10" s="517"/>
      <c r="AF10" s="506">
        <f>IF(ISNUMBER(Datos!L10),Datos!L10,"-")</f>
        <v>123</v>
      </c>
      <c r="AG10" s="504"/>
      <c r="AH10" s="504"/>
      <c r="AI10" s="504"/>
      <c r="AJ10" s="504"/>
      <c r="AK10" s="504"/>
      <c r="AL10" s="505"/>
      <c r="AM10" s="672">
        <f>IF(ISNUMBER(Datos!R10),Datos!R10," - ")</f>
        <v>74</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5</v>
      </c>
      <c r="BD10" s="620">
        <f>IF(ISNUMBER(Datos!N10),Datos!N10," - ")</f>
        <v>0</v>
      </c>
      <c r="BE10" s="620" t="str">
        <f>IF(ISNUMBER(Datos!BW10),Datos!BW10," - ")</f>
        <v xml:space="preserve"> - </v>
      </c>
      <c r="BF10" s="668" t="str">
        <f>IF(ISNUMBER(Datos!BX10),Datos!BX10," - ")</f>
        <v xml:space="preserve"> - </v>
      </c>
      <c r="BG10" s="669">
        <f>IF(ISNUMBER(Datos!K10/Datos!J10),Datos!K10/Datos!J10," - ")</f>
        <v>0.9</v>
      </c>
      <c r="BH10" s="670">
        <f>IF(ISNUMBER(((Datos!L10/Datos!K10)*11)/factor_trimestre),((Datos!L10/Datos!K10)*11)/factor_trimestre," - ")</f>
        <v>41</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5.7142857142857141E-2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7</v>
      </c>
      <c r="B12" s="654" t="s">
        <v>273</v>
      </c>
      <c r="C12" s="655" t="str">
        <f>Datos!A12</f>
        <v xml:space="preserve">Jdos. 1ª Instª. e Instr.                        </v>
      </c>
      <c r="D12" s="549"/>
      <c r="E12" s="670">
        <f>IF(ISNUMBER(Datos!AQ12),Datos!AQ12," - ")</f>
        <v>7</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272</v>
      </c>
      <c r="O12" s="504"/>
      <c r="P12" s="504"/>
      <c r="Q12" s="502">
        <f>IF(ISNUMBER(Datos!P12),Datos!P12,0)</f>
        <v>370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304</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221</v>
      </c>
      <c r="AI12" s="504" t="str">
        <f>IF(ISNUMBER(Datos!CD12),Datos!CD12,"-")</f>
        <v>-</v>
      </c>
      <c r="AJ12" s="504" t="str">
        <f>IF(ISNUMBER(Datos!EN12),Datos!EN12," - ")</f>
        <v xml:space="preserve"> - </v>
      </c>
      <c r="AK12" s="504"/>
      <c r="AL12" s="505"/>
      <c r="AM12" s="672">
        <f>IF(ISNUMBER(Datos!R12),Datos!R12," - ")</f>
        <v>7796</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273</v>
      </c>
      <c r="BD12" s="620">
        <f>IF(ISNUMBER(Datos!N12),Datos!N12," - ")</f>
        <v>855</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0.8455361360415683</v>
      </c>
      <c r="BH12" s="670">
        <f>IF(ISNUMBER(((IF(J_V="SI",Datos!L12/Datos!K12,(Datos!L12+Datos!AB12)/(Datos!K12+Datos!AA12)))*11)/factor_trimestre),((IF(J_V="SI",Datos!L12/Datos!K12,(Datos!L12+Datos!AB12)/(Datos!K12+Datos!AA12)))*11)/factor_trimestre," - ")</f>
        <v>10.724581005586591</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8.538163001293661E-3</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7</v>
      </c>
      <c r="F14" s="1045">
        <f t="shared" si="1"/>
        <v>122</v>
      </c>
      <c r="G14" s="1045">
        <f t="shared" si="1"/>
        <v>122</v>
      </c>
      <c r="H14" s="1046">
        <f t="shared" si="1"/>
        <v>0</v>
      </c>
      <c r="I14" s="1045">
        <f t="shared" si="1"/>
        <v>0</v>
      </c>
      <c r="J14" s="1014">
        <f t="shared" si="1"/>
        <v>0</v>
      </c>
      <c r="K14" s="1014">
        <f t="shared" si="1"/>
        <v>0</v>
      </c>
      <c r="L14" s="1046">
        <f t="shared" si="1"/>
        <v>0</v>
      </c>
      <c r="M14" s="1046">
        <f t="shared" si="1"/>
        <v>0</v>
      </c>
      <c r="N14" s="1046">
        <f t="shared" si="1"/>
        <v>272</v>
      </c>
      <c r="O14" s="1047">
        <f t="shared" si="1"/>
        <v>0</v>
      </c>
      <c r="P14" s="1047">
        <f t="shared" si="1"/>
        <v>0</v>
      </c>
      <c r="Q14" s="1046">
        <f t="shared" si="1"/>
        <v>374</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9</v>
      </c>
      <c r="AC14" s="1046">
        <f t="shared" si="2"/>
        <v>304</v>
      </c>
      <c r="AD14" s="1046">
        <f t="shared" si="2"/>
        <v>0</v>
      </c>
      <c r="AE14" s="1046">
        <f t="shared" si="2"/>
        <v>0</v>
      </c>
      <c r="AF14" s="1046">
        <f t="shared" si="2"/>
        <v>123</v>
      </c>
      <c r="AG14" s="1046">
        <f t="shared" si="2"/>
        <v>0</v>
      </c>
      <c r="AH14" s="1046">
        <f t="shared" si="2"/>
        <v>221</v>
      </c>
      <c r="AI14" s="1046">
        <f t="shared" si="2"/>
        <v>0</v>
      </c>
      <c r="AJ14" s="1046">
        <f t="shared" si="2"/>
        <v>0</v>
      </c>
      <c r="AK14" s="1046">
        <f t="shared" si="2"/>
        <v>0</v>
      </c>
      <c r="AL14" s="1046">
        <f t="shared" si="2"/>
        <v>0</v>
      </c>
      <c r="AM14" s="1046">
        <f t="shared" si="2"/>
        <v>7870</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278</v>
      </c>
      <c r="BD14" s="1046">
        <f t="shared" si="2"/>
        <v>855</v>
      </c>
      <c r="BE14" s="1046">
        <f t="shared" si="2"/>
        <v>0</v>
      </c>
      <c r="BF14" s="1046">
        <f t="shared" si="2"/>
        <v>0</v>
      </c>
      <c r="BG14" s="1046">
        <f>IF(ISNUMBER(Datos!K14/Datos!J14),Datos!K14/Datos!J14," - ")</f>
        <v>0.84582210242587597</v>
      </c>
      <c r="BH14" s="1050">
        <f>IF(ISNUMBER(((Datos!L14/Datos!K14)*11)/factor_trimestre),((Datos!L14/Datos!K14)*11)/factor_trimestre," - ")</f>
        <v>12.047801147227533</v>
      </c>
      <c r="BI14" s="1046">
        <f>IF(ISNUMBER('Resol  Asuntos'!D14/NºAsuntos!G14),'Resol  Asuntos'!D14/NºAsuntos!G14," - ")</f>
        <v>0.15453029460811563</v>
      </c>
      <c r="BJ14" s="1046" t="str">
        <f>IF(ISNUMBER(Datos!CI14/Datos!CJ14),Datos!CI14/Datos!CJ14," - ")</f>
        <v xml:space="preserve"> - </v>
      </c>
      <c r="BK14" s="1046">
        <f>SUBTOTAL(9,BK8:BK13)</f>
        <v>0</v>
      </c>
      <c r="BL14" s="1046">
        <f>IF(ISNUMBER((I14-AB14+L14)/(F14)),(I14-AB14+L14)/(F14)," - ")</f>
        <v>-7.3770491803278687E-2</v>
      </c>
      <c r="BM14" s="1051">
        <f>SUBTOTAL(9,BM9:BM13)</f>
        <v>6.5681020144150809E-2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7</v>
      </c>
      <c r="B17" s="647" t="s">
        <v>437</v>
      </c>
      <c r="C17" s="657" t="str">
        <f>Datos!A17</f>
        <v xml:space="preserve">Jdos. 1ª Instª. e Instr.                        </v>
      </c>
      <c r="D17" s="658"/>
      <c r="E17" s="1334">
        <f>IF(ISNUMBER(Datos!AQ17),Datos!AQ17," - ")</f>
        <v>7</v>
      </c>
      <c r="F17" s="648">
        <f>IF(ISNUMBER(AF17+AB17-Datos!J17-L17),AF17+AB17-Datos!J17-L17," - ")</f>
        <v>1820</v>
      </c>
      <c r="G17" s="651">
        <f>IF(ISNUMBER(IF(D_I="SI",Datos!I17,Datos!I17+Datos!AC17)),IF(D_I="SI",Datos!I17,Datos!I17+Datos!AC17)," - ")</f>
        <v>1787</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51</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1674</v>
      </c>
      <c r="AC17" s="231">
        <f>IF(ISNUMBER(Datos!Q17),Datos!Q17," - ")</f>
        <v>45</v>
      </c>
      <c r="AD17" s="344"/>
      <c r="AE17" s="516"/>
      <c r="AF17" s="649">
        <f>IF(ISNUMBER(IF(D_I="SI",Datos!L17,Datos!L17+Datos!AF17)),IF(D_I="SI",Datos!L17,Datos!L17+Datos!AF17)," - ")</f>
        <v>1839</v>
      </c>
      <c r="AG17" s="344"/>
      <c r="AH17" s="344"/>
      <c r="AI17" s="344"/>
      <c r="AJ17" s="504"/>
      <c r="AK17" s="344"/>
      <c r="AL17" s="500"/>
      <c r="AM17" s="345">
        <f>IF(ISNUMBER(Datos!R17),Datos!R17," - ")</f>
        <v>211</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190</v>
      </c>
      <c r="BD17" s="234">
        <f>IF(ISNUMBER(Datos!N17),Datos!N17," - ")</f>
        <v>1166</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0.9887773183697578</v>
      </c>
      <c r="BH17" s="670">
        <f>IF(ISNUMBER(((IF(D_I="SI",Datos!L17/Datos!K17,(Datos!L17+Datos!AF17)/(Datos!K17+Datos!AE17)))*11)/factor_trimestre),((IF(D_I="SI",Datos!L17/Datos!K17,(Datos!L17+Datos!AF17)/(Datos!K17+Datos!AE17)))*11)/factor_trimestre," - ")</f>
        <v>3.2956989247311825</v>
      </c>
      <c r="BI17" s="248">
        <f>IF(ISNUMBER('Resol  Asuntos'!D17/NºAsuntos!G17),'Resol  Asuntos'!D17/NºAsuntos!G17," - ")</f>
        <v>0.11350059737156511</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238</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51</v>
      </c>
      <c r="AC18" s="502">
        <f>IF(ISNUMBER(Datos!Q18),Datos!Q18," - ")</f>
        <v>0</v>
      </c>
      <c r="AD18" s="504"/>
      <c r="AE18" s="516"/>
      <c r="AF18" s="506">
        <f>IF(ISNUMBER(Datos!L18),Datos!L18,"-")</f>
        <v>250</v>
      </c>
      <c r="AG18" s="504"/>
      <c r="AH18" s="504"/>
      <c r="AI18" s="504"/>
      <c r="AJ18" s="504"/>
      <c r="AK18" s="504"/>
      <c r="AL18" s="505"/>
      <c r="AM18" s="672">
        <f>IF(ISNUMBER(Datos!R18),Datos!R18," - ")</f>
        <v>1</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11</v>
      </c>
      <c r="BD18" s="620">
        <f>IF(ISNUMBER(Datos!N18),Datos!N18," - ")</f>
        <v>39</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0.80952380952380953</v>
      </c>
      <c r="BH18" s="670">
        <f>IF(ISNUMBER(((IF(D_I="SI",Datos!L18/Datos!K18,(Datos!L18+Datos!AF18)/(Datos!K18+Datos!AE18)))*11)/factor_trimestre),((IF(D_I="SI",Datos!L18/Datos!K18,(Datos!L18+Datos!AF18)/(Datos!K18+Datos!AE18)))*11)/factor_trimestre," - ")</f>
        <v>14.705882352941178</v>
      </c>
      <c r="BI18" s="669">
        <f>IF(ISNUMBER('Resol  Asuntos'!D18/NºAsuntos!G18),'Resol  Asuntos'!D18/NºAsuntos!G18," - ")</f>
        <v>0.21568627450980393</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7</v>
      </c>
      <c r="F20" s="1045">
        <f>SUBTOTAL(9,F16:F19)</f>
        <v>1820</v>
      </c>
      <c r="G20" s="1045">
        <f>SUBTOTAL(9,G16:G19)</f>
        <v>2025</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51</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1725</v>
      </c>
      <c r="AC20" s="1046">
        <f t="shared" si="5"/>
        <v>45</v>
      </c>
      <c r="AD20" s="1046">
        <f t="shared" si="5"/>
        <v>0</v>
      </c>
      <c r="AE20" s="1046">
        <f t="shared" si="5"/>
        <v>0</v>
      </c>
      <c r="AF20" s="1046">
        <f t="shared" si="5"/>
        <v>2089</v>
      </c>
      <c r="AG20" s="1046">
        <f t="shared" si="5"/>
        <v>0</v>
      </c>
      <c r="AH20" s="1046">
        <f t="shared" si="5"/>
        <v>0</v>
      </c>
      <c r="AI20" s="1046">
        <f t="shared" si="5"/>
        <v>0</v>
      </c>
      <c r="AJ20" s="1046">
        <f t="shared" si="5"/>
        <v>0</v>
      </c>
      <c r="AK20" s="1046">
        <f t="shared" si="5"/>
        <v>0</v>
      </c>
      <c r="AL20" s="1046">
        <f t="shared" si="5"/>
        <v>0</v>
      </c>
      <c r="AM20" s="1046">
        <f t="shared" si="5"/>
        <v>212</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201</v>
      </c>
      <c r="BD20" s="1046">
        <f t="shared" si="5"/>
        <v>1205</v>
      </c>
      <c r="BE20" s="1046">
        <f t="shared" si="5"/>
        <v>0</v>
      </c>
      <c r="BF20" s="1046">
        <f t="shared" si="5"/>
        <v>0</v>
      </c>
      <c r="BG20" s="1046">
        <f>IF(ISNUMBER(Datos!K20/Datos!J20),Datos!K20/Datos!J20," - ")</f>
        <v>0.98234624145785876</v>
      </c>
      <c r="BH20" s="1050">
        <f>IF(ISNUMBER(((Datos!L20/Datos!K20)*11)/factor_trimestre),((Datos!L20/Datos!K20)*11)/factor_trimestre," - ")</f>
        <v>3.6330434782608698</v>
      </c>
      <c r="BI20" s="1046">
        <f>SUBTOTAL(9,BI16:BI19)</f>
        <v>0.32918687188136903</v>
      </c>
      <c r="BJ20" s="1046">
        <f>SUBTOTAL(9,BJ16:BJ19)</f>
        <v>0</v>
      </c>
      <c r="BK20" s="1046">
        <f>SUBTOTAL(9,BK16:BK19)</f>
        <v>0</v>
      </c>
      <c r="BL20" s="1046">
        <f>IF(ISNUMBER((I20-AB20+L20)/(F20)),(I20-AB20+L20)/(F20)," - ")</f>
        <v>-0.94780219780219777</v>
      </c>
      <c r="BM20" s="1052">
        <f>IF(ISNUMBER((Datos!P20-Datos!Q20)/(Datos!R20-Datos!P20+Datos!Q20)),(Datos!P20-Datos!Q20)/(Datos!R20-Datos!P20+Datos!Q20)," - ")</f>
        <v>2.9126213592233011E-2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14</v>
      </c>
      <c r="F21" s="967">
        <f t="shared" si="7"/>
        <v>1942</v>
      </c>
      <c r="G21" s="967">
        <f t="shared" si="7"/>
        <v>2147</v>
      </c>
      <c r="H21" s="969">
        <f t="shared" si="7"/>
        <v>0</v>
      </c>
      <c r="I21" s="967">
        <f t="shared" si="7"/>
        <v>0</v>
      </c>
      <c r="J21" s="969">
        <f t="shared" si="7"/>
        <v>0</v>
      </c>
      <c r="K21" s="969">
        <f t="shared" si="7"/>
        <v>0</v>
      </c>
      <c r="L21" s="1028">
        <f t="shared" si="7"/>
        <v>0</v>
      </c>
      <c r="M21" s="1028">
        <f t="shared" si="7"/>
        <v>0</v>
      </c>
      <c r="N21" s="1028">
        <f t="shared" si="7"/>
        <v>272</v>
      </c>
      <c r="O21" s="1028">
        <f t="shared" si="7"/>
        <v>0</v>
      </c>
      <c r="P21" s="1028">
        <f t="shared" si="7"/>
        <v>0</v>
      </c>
      <c r="Q21" s="969">
        <f t="shared" si="7"/>
        <v>425</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1734</v>
      </c>
      <c r="AC21" s="968">
        <f t="shared" si="8"/>
        <v>349</v>
      </c>
      <c r="AD21" s="968">
        <f t="shared" si="8"/>
        <v>0</v>
      </c>
      <c r="AE21" s="968">
        <f t="shared" si="8"/>
        <v>0</v>
      </c>
      <c r="AF21" s="975">
        <f t="shared" si="8"/>
        <v>2212</v>
      </c>
      <c r="AG21" s="975">
        <f t="shared" si="8"/>
        <v>0</v>
      </c>
      <c r="AH21" s="975">
        <f t="shared" si="8"/>
        <v>221</v>
      </c>
      <c r="AI21" s="975">
        <f t="shared" si="8"/>
        <v>0</v>
      </c>
      <c r="AJ21" s="968">
        <f t="shared" si="8"/>
        <v>0</v>
      </c>
      <c r="AK21" s="975">
        <f t="shared" si="8"/>
        <v>0</v>
      </c>
      <c r="AL21" s="975">
        <f t="shared" si="8"/>
        <v>0</v>
      </c>
      <c r="AM21" s="975">
        <f t="shared" si="8"/>
        <v>8082</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479</v>
      </c>
      <c r="BD21" s="967">
        <f t="shared" si="8"/>
        <v>2060</v>
      </c>
      <c r="BE21" s="967">
        <f t="shared" si="8"/>
        <v>0</v>
      </c>
      <c r="BF21" s="977">
        <f t="shared" si="8"/>
        <v>0</v>
      </c>
      <c r="BG21" s="1062">
        <f>IF(ISNUMBER(Datos!K21/Datos!J21),Datos!K21/Datos!J21," - ")</f>
        <v>0.91221268346718365</v>
      </c>
      <c r="BH21" s="1062">
        <f>IF(ISNUMBER(((Datos!L21/Datos!K21)*11)/factor_trimestre),((Datos!L21/Datos!K21)*11)/factor_trimestre," - ")</f>
        <v>7.6411657559198547</v>
      </c>
      <c r="BI21" s="960">
        <f>IF(ISNUMBER(Datos!J21/Datos!I21),Datos!J21/Datos!I21," - ")</f>
        <v>0.44912935323383085</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-0.89289392378990728</v>
      </c>
      <c r="BM21" s="1036">
        <f>IF(ISNUMBER((Datos!P21-Datos!Q21+R21)/(Datos!R21-Datos!P21+Datos!Q21-R21)),(Datos!P21-Datos!Q21+R21)/(Datos!R21-Datos!P21+Datos!Q21-R21)," - ")</f>
        <v>9.4928803397451907E-3</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858.8</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3.531674853766591</v>
      </c>
      <c r="F23" s="600">
        <f>IF(ISNUMBER(STDEV(F8:F20)),STDEV(F8:F20),"-")</f>
        <v>980.3407570839845</v>
      </c>
      <c r="G23" s="601">
        <f>IF(ISNUMBER(STDEV(G8:G20)),STDEV(G8:G20),"-")</f>
        <v>960.82240814835291</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918.59392551877897</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122.88151474760826</v>
      </c>
      <c r="BD23" s="600"/>
      <c r="BE23" s="600">
        <f>IF(ISNUMBER(STDEV(BE8:BE20)),STDEV(BE8:BE20),"-")</f>
        <v>0</v>
      </c>
      <c r="BF23" s="605">
        <f>IF(ISNUMBER(STDEV(BF8:BF20)),STDEV(BF8:BF20),"-")</f>
        <v>0</v>
      </c>
      <c r="BG23" s="915">
        <f>IF(ISNUMBER(STDEV(BG8:BG20)),STDEV(BG8:BG20),"-")</f>
        <v>7.5656063224060099E-2</v>
      </c>
      <c r="BH23" s="919">
        <f>IF(ISNUMBER(STDEV(BH8:BH20)),STDEV(BH8:BH20),"-")</f>
        <v>13.897939589301318</v>
      </c>
      <c r="BI23" s="254">
        <f>IF(ISNUMBER(STDEV(BI8:BI20)),STDEV(BI8:BI20),"-")</f>
        <v>9.3885247840864938E-2</v>
      </c>
      <c r="BJ23" s="235" t="str">
        <f>IF(ISNUMBER(BL23/BM23),BL23/BM23," - ")</f>
        <v xml:space="preserve"> - </v>
      </c>
      <c r="BK23" s="627"/>
      <c r="BL23" s="608">
        <f>IF(ISNUMBER(STDEV(BL8:BL20)),STDEV(BL8:BL20),"-")</f>
        <v>0.61803374628388252</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rchBSX0Ghet+yM1DGPQdDzth6zauBLVzh/QhAeZNmUnNHzh39YreX7Yh9ZJ6C2kG7Ih11G4wgNztnNwcVwKeAw==" saltValue="XMwaiehIn4fPWMw/3Fib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MARTORELL</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122</v>
      </c>
      <c r="G10" s="507">
        <f>IF(ISNUMBER(Datos!I10),Datos!I10," - ")</f>
        <v>122</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4</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9</v>
      </c>
      <c r="Z10" s="704">
        <f>IF(ISNUMBER(Datos!Q10),Datos!Q10," - ")</f>
        <v>0</v>
      </c>
      <c r="AA10" s="506">
        <f>IF(ISNUMBER(Datos!L10),Datos!L10,"-")</f>
        <v>123</v>
      </c>
      <c r="AB10" s="504"/>
      <c r="AC10" s="504"/>
      <c r="AD10" s="517"/>
      <c r="AE10" s="517">
        <f>IF(ISNUMBER(Datos!R10),Datos!R10," - ")</f>
        <v>74</v>
      </c>
      <c r="AF10" s="620" t="str">
        <f>IF(ISNUMBER(Datos!BV10),Datos!BV10," - ")</f>
        <v xml:space="preserve"> - </v>
      </c>
      <c r="AG10" s="507" t="str">
        <f>IF(ISNUMBER(Datos!DV10),Datos!DV10," - ")</f>
        <v xml:space="preserve"> - </v>
      </c>
      <c r="AH10" s="508"/>
      <c r="AI10" s="509"/>
      <c r="AJ10" s="507">
        <f>IF(ISNUMBER(Datos!M10),Datos!M10," - ")</f>
        <v>5</v>
      </c>
      <c r="AK10" s="620">
        <f>IF(ISNUMBER(Datos!N10),Datos!N10," - ")</f>
        <v>0</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41</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5.7142857142857141E-2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7</v>
      </c>
      <c r="B12" s="654" t="s">
        <v>273</v>
      </c>
      <c r="C12" s="655" t="str">
        <f>Datos!A12</f>
        <v xml:space="preserve">Jdos. 1ª Instª. e Instr.                        </v>
      </c>
      <c r="D12" s="549"/>
      <c r="E12" s="1337">
        <f>IF(ISNUMBER(Datos!AQ12),Datos!AQ12," - ")</f>
        <v>7</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370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304</v>
      </c>
      <c r="AA12" s="506" t="str">
        <f>IF(ISNUMBER(IF(J_V="SI",Datos!L12,Datos!L12+Datos!AB12)-IF(Monitorios="SI",Datos!CD12,0)),
                          IF(J_V="SI",Datos!L12,Datos!L12+Datos!AB12)-IF(Monitorios="SI",Datos!CD12,0),
                          " - ")</f>
        <v xml:space="preserve"> - </v>
      </c>
      <c r="AB12" s="504"/>
      <c r="AC12" s="504"/>
      <c r="AD12" s="517"/>
      <c r="AE12" s="517">
        <f>IF(ISNUMBER(Datos!R12),Datos!R12," - ")</f>
        <v>7796</v>
      </c>
      <c r="AF12" s="620" t="str">
        <f>IF(ISNUMBER(Datos!BV12),Datos!BV12," - ")</f>
        <v xml:space="preserve"> - </v>
      </c>
      <c r="AG12" s="507" t="str">
        <f>IF(ISNUMBER(Datos!DV12),Datos!DV12," - ")</f>
        <v xml:space="preserve"> - </v>
      </c>
      <c r="AH12" s="508"/>
      <c r="AI12" s="509"/>
      <c r="AJ12" s="507">
        <f>IF(ISNUMBER(Datos!M12),Datos!M12," - ")</f>
        <v>273</v>
      </c>
      <c r="AK12" s="620">
        <f>IF(ISNUMBER(Datos!N12),Datos!N12," - ")</f>
        <v>855</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10.724581005586591</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8.538163001293661E-3</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7</v>
      </c>
      <c r="F14" s="1045">
        <f>SUBTOTAL(9,F8:F13)</f>
        <v>122</v>
      </c>
      <c r="G14" s="1045">
        <f>SUBTOTAL(9,G8:G13)</f>
        <v>122</v>
      </c>
      <c r="H14" s="1055"/>
      <c r="I14" s="1045">
        <f t="shared" ref="I14:N14" si="1">SUBTOTAL(9,I8:I13)</f>
        <v>0</v>
      </c>
      <c r="J14" s="1014">
        <f t="shared" si="1"/>
        <v>0</v>
      </c>
      <c r="K14" s="1055">
        <f t="shared" si="1"/>
        <v>0</v>
      </c>
      <c r="L14" s="1055">
        <f t="shared" si="1"/>
        <v>0</v>
      </c>
      <c r="M14" s="1055">
        <f t="shared" si="1"/>
        <v>0</v>
      </c>
      <c r="N14" s="1055">
        <f t="shared" si="1"/>
        <v>374</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9</v>
      </c>
      <c r="Z14" s="1054">
        <f t="shared" si="3"/>
        <v>304</v>
      </c>
      <c r="AA14" s="1047">
        <f t="shared" si="3"/>
        <v>123</v>
      </c>
      <c r="AB14" s="1047">
        <f t="shared" si="3"/>
        <v>0</v>
      </c>
      <c r="AC14" s="1047">
        <f t="shared" si="3"/>
        <v>0</v>
      </c>
      <c r="AD14" s="1047">
        <f t="shared" si="3"/>
        <v>0</v>
      </c>
      <c r="AE14" s="1047">
        <f t="shared" si="3"/>
        <v>7870</v>
      </c>
      <c r="AF14" s="1055">
        <f t="shared" si="3"/>
        <v>0</v>
      </c>
      <c r="AG14" s="1055">
        <f t="shared" si="3"/>
        <v>0</v>
      </c>
      <c r="AH14" s="1055">
        <f t="shared" si="3"/>
        <v>0</v>
      </c>
      <c r="AI14" s="1055">
        <f t="shared" si="3"/>
        <v>0</v>
      </c>
      <c r="AJ14" s="1055">
        <f t="shared" si="3"/>
        <v>278</v>
      </c>
      <c r="AK14" s="1055">
        <f t="shared" si="3"/>
        <v>855</v>
      </c>
      <c r="AL14" s="1055">
        <f t="shared" si="3"/>
        <v>0</v>
      </c>
      <c r="AM14" s="1055">
        <f t="shared" si="3"/>
        <v>0</v>
      </c>
      <c r="AN14" s="1055">
        <f t="shared" si="3"/>
        <v>0</v>
      </c>
      <c r="AO14" s="1051">
        <f>IF(ISNUMBER(((NºAsuntos!I14/NºAsuntos!G14)*11)/factor_trimestre),((NºAsuntos!I14/NºAsuntos!G14)*11)/factor_trimestre," - ")</f>
        <v>10.876042245692052</v>
      </c>
      <c r="AP14" s="1057" t="str">
        <f>IF(ISNUMBER(Datos!CI14/Datos!CJ14),Datos!CI14/Datos!CJ14," - ")</f>
        <v xml:space="preserve"> - </v>
      </c>
      <c r="AQ14" s="1075">
        <f t="shared" ref="AQ14:AV14" si="4">SUBTOTAL(9,AQ9:AQ13)</f>
        <v>0</v>
      </c>
      <c r="AR14" s="1075">
        <f t="shared" si="4"/>
        <v>6.5681020144150809E-2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7</v>
      </c>
      <c r="B17" s="654" t="s">
        <v>437</v>
      </c>
      <c r="C17" s="671" t="str">
        <f>Datos!A17</f>
        <v xml:space="preserve">Jdos. 1ª Instª. e Instr.                        </v>
      </c>
      <c r="D17" s="544"/>
      <c r="E17" s="1337">
        <f>IF(ISNUMBER(Datos!AQ17),Datos!AQ17," - ")</f>
        <v>7</v>
      </c>
      <c r="F17" s="498">
        <f>IF(ISNUMBER(AA17+Y17-Datos!J17-K16),AA17+Y17-Datos!J17-K16," - ")</f>
        <v>1820</v>
      </c>
      <c r="G17" s="507">
        <f>IF(ISNUMBER(IF(D_I="SI",Datos!I17,Datos!I17+Datos!AC17)),IF(D_I="SI",Datos!I17,Datos!I17+Datos!AC17)," - ")</f>
        <v>1787</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51</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1674</v>
      </c>
      <c r="Z17" s="704">
        <f>IF(ISNUMBER(Datos!Q17),Datos!Q17," - ")</f>
        <v>45</v>
      </c>
      <c r="AA17" s="506">
        <f>IF(ISNUMBER(IF(D_I="SI",Datos!L17,Datos!L17+Datos!AF17)),IF(D_I="SI",Datos!L17,Datos!L17+Datos!AF17)," - ")</f>
        <v>1839</v>
      </c>
      <c r="AB17" s="504"/>
      <c r="AC17" s="504"/>
      <c r="AD17" s="517"/>
      <c r="AE17" s="517">
        <f>IF(ISNUMBER(Datos!R17),Datos!R17," - ")</f>
        <v>211</v>
      </c>
      <c r="AF17" s="620" t="str">
        <f>IF(ISNUMBER(Datos!BV17),Datos!BV17," - ")</f>
        <v xml:space="preserve"> - </v>
      </c>
      <c r="AG17" s="507"/>
      <c r="AH17" s="508"/>
      <c r="AI17" s="509"/>
      <c r="AJ17" s="507">
        <f>IF(ISNUMBER(Datos!M17),Datos!M17," - ")</f>
        <v>190</v>
      </c>
      <c r="AK17" s="620">
        <f>IF(ISNUMBER(Datos!N17),Datos!N17," - ")</f>
        <v>1166</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3.2956989247311825</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238</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51</v>
      </c>
      <c r="Z18" s="704">
        <f>IF(ISNUMBER(Datos!Q18),Datos!Q18," - ")</f>
        <v>0</v>
      </c>
      <c r="AA18" s="506">
        <f>IF(ISNUMBER(Datos!L18),Datos!L18,"-")</f>
        <v>250</v>
      </c>
      <c r="AB18" s="504"/>
      <c r="AC18" s="504"/>
      <c r="AD18" s="517"/>
      <c r="AE18" s="517">
        <f>IF(ISNUMBER(Datos!R18),Datos!R18," - ")</f>
        <v>1</v>
      </c>
      <c r="AF18" s="620" t="str">
        <f>IF(ISNUMBER(Datos!BV18),Datos!BV18," - ")</f>
        <v xml:space="preserve"> - </v>
      </c>
      <c r="AG18" s="507" t="str">
        <f>IF(ISNUMBER(Datos!DV18),Datos!DV18," - ")</f>
        <v xml:space="preserve"> - </v>
      </c>
      <c r="AH18" s="508"/>
      <c r="AI18" s="509"/>
      <c r="AJ18" s="507">
        <f>IF(ISNUMBER(Datos!M18),Datos!M18," - ")</f>
        <v>11</v>
      </c>
      <c r="AK18" s="620">
        <f>IF(ISNUMBER(Datos!N18),Datos!N18," - ")</f>
        <v>39</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14.705882352941178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7</v>
      </c>
      <c r="F20" s="1045">
        <f>SUBTOTAL(9,F16:F19)</f>
        <v>1820</v>
      </c>
      <c r="G20" s="1045">
        <f>SUBTOTAL(9,G16:G19)</f>
        <v>2025</v>
      </c>
      <c r="H20" s="1079">
        <f>SUBTOTAL(9,H16:H19)</f>
        <v>0</v>
      </c>
      <c r="I20" s="1058">
        <f>SUBTOTAL(9,I16:I19)</f>
        <v>0</v>
      </c>
      <c r="J20" s="1014">
        <f>SUBTOTAL(9,J15:J19)</f>
        <v>0</v>
      </c>
      <c r="K20" s="1079">
        <f t="shared" ref="K20:S20" si="5">SUBTOTAL(9,K16:K19)</f>
        <v>0</v>
      </c>
      <c r="L20" s="1079">
        <f t="shared" si="5"/>
        <v>0</v>
      </c>
      <c r="M20" s="1079">
        <f t="shared" si="5"/>
        <v>0</v>
      </c>
      <c r="N20" s="1079">
        <f t="shared" si="5"/>
        <v>51</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1725</v>
      </c>
      <c r="Z20" s="1079">
        <f t="shared" si="6"/>
        <v>45</v>
      </c>
      <c r="AA20" s="1079">
        <f t="shared" si="6"/>
        <v>2089</v>
      </c>
      <c r="AB20" s="1079">
        <f t="shared" si="6"/>
        <v>0</v>
      </c>
      <c r="AC20" s="1079">
        <f t="shared" si="6"/>
        <v>0</v>
      </c>
      <c r="AD20" s="1079">
        <f t="shared" si="6"/>
        <v>0</v>
      </c>
      <c r="AE20" s="1079">
        <f t="shared" si="6"/>
        <v>212</v>
      </c>
      <c r="AF20" s="1079">
        <f t="shared" si="6"/>
        <v>0</v>
      </c>
      <c r="AG20" s="1079">
        <f t="shared" si="6"/>
        <v>0</v>
      </c>
      <c r="AH20" s="1079">
        <f t="shared" si="6"/>
        <v>0</v>
      </c>
      <c r="AI20" s="1079">
        <f t="shared" si="6"/>
        <v>0</v>
      </c>
      <c r="AJ20" s="1079">
        <f t="shared" si="6"/>
        <v>201</v>
      </c>
      <c r="AK20" s="1079">
        <f t="shared" si="6"/>
        <v>1205</v>
      </c>
      <c r="AL20" s="1079">
        <f t="shared" si="6"/>
        <v>0</v>
      </c>
      <c r="AM20" s="1079">
        <f t="shared" si="6"/>
        <v>0</v>
      </c>
      <c r="AN20" s="1079">
        <f t="shared" si="6"/>
        <v>0</v>
      </c>
      <c r="AO20" s="1081">
        <f>IF(ISNUMBER(((NºAsuntos!I20/NºAsuntos!G20)*11)/factor_trimestre),((NºAsuntos!I20/NºAsuntos!G20)*11)/factor_trimestre," - ")</f>
        <v>3.6330434782608698</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14</v>
      </c>
      <c r="F21" s="967">
        <f t="shared" si="8"/>
        <v>1942</v>
      </c>
      <c r="G21" s="967">
        <f t="shared" si="8"/>
        <v>2147</v>
      </c>
      <c r="H21" s="968">
        <f t="shared" si="8"/>
        <v>0</v>
      </c>
      <c r="I21" s="967">
        <f t="shared" si="8"/>
        <v>0</v>
      </c>
      <c r="J21" s="969">
        <f t="shared" si="8"/>
        <v>0</v>
      </c>
      <c r="K21" s="967">
        <f t="shared" si="8"/>
        <v>0</v>
      </c>
      <c r="L21" s="970">
        <f t="shared" si="8"/>
        <v>0</v>
      </c>
      <c r="M21" s="967">
        <f t="shared" si="8"/>
        <v>0</v>
      </c>
      <c r="N21" s="968">
        <f t="shared" si="8"/>
        <v>425</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1734</v>
      </c>
      <c r="Z21" s="974">
        <f t="shared" si="9"/>
        <v>349</v>
      </c>
      <c r="AA21" s="975">
        <f t="shared" si="9"/>
        <v>2212</v>
      </c>
      <c r="AB21" s="975">
        <f t="shared" si="9"/>
        <v>0</v>
      </c>
      <c r="AC21" s="975">
        <f t="shared" si="9"/>
        <v>0</v>
      </c>
      <c r="AD21" s="976">
        <f t="shared" si="9"/>
        <v>0</v>
      </c>
      <c r="AE21" s="976">
        <f t="shared" si="9"/>
        <v>8082</v>
      </c>
      <c r="AF21" s="977">
        <f t="shared" si="9"/>
        <v>0</v>
      </c>
      <c r="AG21" s="978">
        <f t="shared" si="9"/>
        <v>0</v>
      </c>
      <c r="AH21" s="979">
        <f t="shared" si="9"/>
        <v>0</v>
      </c>
      <c r="AI21" s="977">
        <f t="shared" si="9"/>
        <v>0</v>
      </c>
      <c r="AJ21" s="967">
        <f t="shared" si="9"/>
        <v>479</v>
      </c>
      <c r="AK21" s="967">
        <f t="shared" si="9"/>
        <v>2060</v>
      </c>
      <c r="AL21" s="967">
        <f t="shared" si="9"/>
        <v>0</v>
      </c>
      <c r="AM21" s="980">
        <f t="shared" si="9"/>
        <v>0</v>
      </c>
      <c r="AN21" s="970">
        <f>IF(ISNUMBER(Datos!K21/Datos!J21),Datos!K21/Datos!J21," - ")</f>
        <v>0.91221268346718365</v>
      </c>
      <c r="AO21" s="970">
        <f>IF(ISNUMBER(FIND("06",Criterios!A8,1)),(IF(ISNUMBER(((Datos!R21/Datos!Q21)*11)/factor_trimestre),((Datos!R21/Datos!Q21)*11)/factor_trimestre," - ")),(IF(ISNUMBER(((Datos!L21/Datos!K21)*11)/factor_trimestre),((Datos!L21/Datos!K21)*11)/factor_trimestre," - ")))</f>
        <v>7.6411657559198547</v>
      </c>
      <c r="AP21" s="981" t="str">
        <f>IF(ISNUMBER(Datos!CI21/Datos!CJ21),Datos!CI21/Datos!CJ21," - ")</f>
        <v xml:space="preserve"> - </v>
      </c>
      <c r="AQ21" s="981">
        <f>IF(OR(ISNUMBER(FIND("01",Criterios!A8,1)),ISNUMBER(FIND("02",Criterios!A8,1)),ISNUMBER(FIND("03",Criterios!A8,1)),ISNUMBER(FIND("04",Criterios!A8,1))),(J21-Y21+K21)/(F21-K21),(I21-Y21+K21)/(F21-K21))</f>
        <v>-0.89289392378990728</v>
      </c>
      <c r="AR21" s="981">
        <f>IF(ISNUMBER((Datos!P21-Datos!Q21+O21)/(Datos!R21-Datos!P21+Datos!Q21-O21)),(Datos!P21-Datos!Q21+O21)/(Datos!R21-Datos!P21+Datos!Q21-O21)," - ")</f>
        <v>9.4928803397451907E-3</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858.8</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980.3407570839845</v>
      </c>
      <c r="G23" s="601">
        <f>IF(ISNUMBER(STDEV(G8:G20)),STDEV(G8:G20),"-")</f>
        <v>960.82240814835291</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122.88151474760826</v>
      </c>
      <c r="AK23" s="257"/>
      <c r="AL23" s="257">
        <f>IF(ISNUMBER(STDEV(AL8:AL20)),STDEV(AL8:AL20),"-")</f>
        <v>0</v>
      </c>
      <c r="AM23" s="259">
        <f>IF(ISNUMBER(STDEV(AM8:AM20)),STDEV(AM8:AM20),"-")</f>
        <v>0</v>
      </c>
      <c r="AN23" s="587">
        <f>IF(ISNUMBER(STDEV(AN8:AN20)),STDEV(AN8:AN20),"-")</f>
        <v>0</v>
      </c>
      <c r="AO23" s="588">
        <f>IF(ISNUMBER(STDEV(AO8:AO20)),STDEV(AO8:AO20),"-")</f>
        <v>13.942972258204774</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A8T4Zh8DpiBTVqSdAoivD/Uzv5M/RsRm0Ab5E8M6KmfY9V27f5XLKAxxKuA3q7QrLK69jCpwhung03YMx3enQ==" saltValue="uUR+xLfxikVNB30NZpIH7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OGBp14rxk8PhKkahotyRmSPAJboSUAzsIEnC3xlEWZx1PzrUsj0A/xuudAJ791KefS34poggvyEUnQMDMdkCQQ==" saltValue="ocZ3/0t4jwH6ub2jxN4s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kt6uh7wKYeRHNCYi0bGR+GhRkDG/UgjdOkSCITGw1WP0soeIzTXyThZeHnwqG7/+1JbH6U9r8jHlGsAUTd7mJA==" saltValue="lJAxienWb6GdegRGlb3Vz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MARTORELL</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0.15453029460811563</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0.10926941921615353</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9Pra6GUScZJylwqIcARD04clepLh7e2CjJsrD9zYC/mMKJcpY9w04z120tJwQXMnz2nfPFCq9ziPsOpIbrTDiA==" saltValue="5zHBjV+m2PRYEO/IyQ8s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GpG9vAkb+C9ska+dGAQMyHQqbHREZQr2oFJPwGwhwoa1HtzpK4YZ8CiRsjLegZf0EzYu1wrpzVSv1KQiQD0GvA==" saltValue="Ea1pmcXSuIla+QjGBp89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MARTORELL</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122</v>
      </c>
      <c r="G10" s="803">
        <f>IF(ISNUMBER(Datos!I10),Datos!I10," - ")</f>
        <v>122</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4</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9</v>
      </c>
      <c r="AC10" s="802" t="str">
        <f>IF(ISNUMBER(IF(D_I="SI",DatosP!K18,DatosP!K18+DatosP!AE18)),IF(D_I="SI",DatosP!K18,DatosP!K18+DatosP!AE18)," - ")</f>
        <v xml:space="preserve"> - </v>
      </c>
      <c r="AD10" s="804"/>
      <c r="AE10" s="804"/>
      <c r="AF10" s="807">
        <f>IF(ISNUMBER(Datos!L10),Datos!L10,"-")</f>
        <v>123</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5</v>
      </c>
      <c r="AM10" s="811">
        <f>IF(ISNUMBER(Datos!N10+DatosP!N18),Datos!N10+DatosP!N18," - ")</f>
        <v>0</v>
      </c>
      <c r="AN10" s="811">
        <f>IF(ISNUMBER(Datos!BW10+DatosP!BW18),Datos!BW10+DatosP!BW18," - ")</f>
        <v>0</v>
      </c>
      <c r="AO10" s="812">
        <f>IF(ISNUMBER(Datos!BX10+DatosP!BX18),Datos!BX10+DatosP!BX18," - ")</f>
        <v>0</v>
      </c>
      <c r="AP10" s="814">
        <f>IF(ISNUMBER(((Datos!L10/Datos!K10)*11)/factor_trimestre),((Datos!L10/Datos!K10)*11)/factor_trimestre," - ")</f>
        <v>41</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7</v>
      </c>
      <c r="B12" s="654" t="s">
        <v>273</v>
      </c>
      <c r="C12" s="655" t="str">
        <f>Datos!A12</f>
        <v xml:space="preserve">Jdos. 1ª Instª. e Instr.                        </v>
      </c>
      <c r="D12" s="549"/>
      <c r="E12" s="801">
        <f>IF(ISNUMBER(Datos!AQ12),Datos!AQ12," - ")</f>
        <v>7</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370</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304</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7796</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273</v>
      </c>
      <c r="AM12" s="811">
        <f>IF(ISNUMBER(Datos!N12+DatosP!N17),Datos!N12+DatosP!N17," - ")</f>
        <v>855</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10.724581005586591</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8.538163001293661E-3</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7</v>
      </c>
      <c r="F14" s="1085">
        <f t="shared" si="0"/>
        <v>122</v>
      </c>
      <c r="G14" s="1085">
        <f t="shared" si="0"/>
        <v>122</v>
      </c>
      <c r="H14" s="1085">
        <f t="shared" si="0"/>
        <v>0</v>
      </c>
      <c r="I14" s="1087">
        <f t="shared" si="0"/>
        <v>0</v>
      </c>
      <c r="J14" s="1086">
        <f t="shared" si="0"/>
        <v>0</v>
      </c>
      <c r="K14" s="1086">
        <f t="shared" si="0"/>
        <v>0</v>
      </c>
      <c r="L14" s="1088">
        <f t="shared" si="0"/>
        <v>0</v>
      </c>
      <c r="M14" s="1088">
        <f t="shared" si="0"/>
        <v>0</v>
      </c>
      <c r="N14" s="1086">
        <f t="shared" si="0"/>
        <v>374</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9</v>
      </c>
      <c r="AC14" s="1086">
        <f t="shared" si="1"/>
        <v>0</v>
      </c>
      <c r="AD14" s="1086">
        <f t="shared" si="1"/>
        <v>304</v>
      </c>
      <c r="AE14" s="1086">
        <f t="shared" si="1"/>
        <v>0</v>
      </c>
      <c r="AF14" s="1086">
        <f t="shared" si="1"/>
        <v>123</v>
      </c>
      <c r="AG14" s="1086">
        <f t="shared" si="1"/>
        <v>0</v>
      </c>
      <c r="AH14" s="1086">
        <f t="shared" si="1"/>
        <v>7796</v>
      </c>
      <c r="AI14" s="1086">
        <f t="shared" si="1"/>
        <v>0</v>
      </c>
      <c r="AJ14" s="1086">
        <f t="shared" si="1"/>
        <v>0</v>
      </c>
      <c r="AK14" s="1086">
        <f t="shared" si="1"/>
        <v>0</v>
      </c>
      <c r="AL14" s="1086">
        <f t="shared" si="1"/>
        <v>278</v>
      </c>
      <c r="AM14" s="1086">
        <f t="shared" si="1"/>
        <v>855</v>
      </c>
      <c r="AN14" s="1086">
        <f t="shared" si="1"/>
        <v>0</v>
      </c>
      <c r="AO14" s="1086">
        <f t="shared" si="1"/>
        <v>0</v>
      </c>
      <c r="AP14" s="1091">
        <f>IF(ISNUMBER(((Datos!L14/Datos!K14)*11)/factor_trimestre),((Datos!L14/Datos!K14)*11)/factor_trimestre," - ")</f>
        <v>12.047801147227533</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-7.3770491803278687E-2</v>
      </c>
      <c r="AU14" s="1086" t="str">
        <f>IF(ISNUMBER((DatosP!#REF!-DatosP!#REF!+DatosP!#REF!)/(DatosP!#REF!+DatosP!#REF!-DatosP!#REF!-DatosP!#REF!)),(DatosP!#REF!-DatosP!#REF!+DatosP!#REF!)/(DatosP!#REF!+DatosP!#REF!-DatosP!#REF!-DatosP!#REF!)," - ")</f>
        <v xml:space="preserve"> - </v>
      </c>
      <c r="AV14" s="1092">
        <f>SUBTOTAL(9,AV9:AV13)</f>
        <v>8.538163001293661E-3</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7</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3.6330434782608698</v>
      </c>
      <c r="AQ20" s="1091">
        <f>IF(ISNUMBER(((Datos!M20/Datos!L20)*11)/factor_trimestre),((Datos!M20/Datos!L20)*11)/factor_trimestre," - ")</f>
        <v>0.28865485878410724</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2.9126213592233011E-2</v>
      </c>
      <c r="AW20" s="1093">
        <f>IF(ISNUMBER((Datos!Q20-Datos!R20)/(Datos!S20-Datos!Q20+Datos!R20)),(Datos!Q20-Datos!R20)/(Datos!S20-Datos!Q20+Datos!R20)," - ")</f>
        <v>-8.9209401709401712E-2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7</v>
      </c>
      <c r="F21" s="1098">
        <f t="shared" si="4"/>
        <v>122</v>
      </c>
      <c r="G21" s="1098">
        <f t="shared" si="4"/>
        <v>122</v>
      </c>
      <c r="H21" s="1098">
        <f t="shared" si="4"/>
        <v>0</v>
      </c>
      <c r="I21" s="1099">
        <f t="shared" si="4"/>
        <v>0</v>
      </c>
      <c r="J21" s="1100">
        <f t="shared" si="4"/>
        <v>0</v>
      </c>
      <c r="K21" s="1100">
        <f t="shared" si="4"/>
        <v>0</v>
      </c>
      <c r="L21" s="1100">
        <f t="shared" si="4"/>
        <v>0</v>
      </c>
      <c r="M21" s="1100">
        <f t="shared" si="4"/>
        <v>0</v>
      </c>
      <c r="N21" s="1099">
        <f t="shared" si="4"/>
        <v>374</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9</v>
      </c>
      <c r="AC21" s="1104">
        <f t="shared" si="5"/>
        <v>0</v>
      </c>
      <c r="AD21" s="1104">
        <f t="shared" si="5"/>
        <v>304</v>
      </c>
      <c r="AE21" s="1104">
        <f t="shared" si="5"/>
        <v>0</v>
      </c>
      <c r="AF21" s="1105">
        <f t="shared" si="5"/>
        <v>123</v>
      </c>
      <c r="AG21" s="1105">
        <f t="shared" si="5"/>
        <v>0</v>
      </c>
      <c r="AH21" s="1105">
        <f t="shared" si="5"/>
        <v>7796</v>
      </c>
      <c r="AI21" s="1105">
        <f t="shared" si="5"/>
        <v>0</v>
      </c>
      <c r="AJ21" s="1106">
        <f t="shared" si="5"/>
        <v>0</v>
      </c>
      <c r="AK21" s="1106">
        <f t="shared" si="5"/>
        <v>0</v>
      </c>
      <c r="AL21" s="1098">
        <f t="shared" si="5"/>
        <v>278</v>
      </c>
      <c r="AM21" s="1098">
        <f t="shared" si="5"/>
        <v>855</v>
      </c>
      <c r="AN21" s="1098">
        <f t="shared" si="5"/>
        <v>0</v>
      </c>
      <c r="AO21" s="1098">
        <f t="shared" si="5"/>
        <v>0</v>
      </c>
      <c r="AP21" s="1098">
        <f>IF(ISNUMBER(((Datos!L21/Datos!K21)*11)/factor_trimestre),((Datos!L21/Datos!K21)*11)/factor_trimestre," - ")</f>
        <v>7.6411657559198547</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-7.3770491803278687E-2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9.4928803397451907E-3</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81.333333333333329</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3.415650255319866</v>
      </c>
      <c r="F23" s="870">
        <f>IF(ISNUMBER(STDEV(F8:F20)),STDEV(F8:F20),"-")</f>
        <v>70.436732841134344</v>
      </c>
      <c r="G23" s="871">
        <f>IF(ISNUMBER(STDEV(G8:G20)),STDEV(G8:G20),"-")</f>
        <v>70.436732841134344</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5.196152422706632</v>
      </c>
      <c r="AC23" s="872">
        <f>IF(ISNUMBER(STDEV(AC8:AC20)),STDEV(AC8:AC20),"-")</f>
        <v>0</v>
      </c>
      <c r="AD23" s="875"/>
      <c r="AE23" s="875"/>
      <c r="AF23" s="875"/>
      <c r="AG23" s="875"/>
      <c r="AH23" s="875"/>
      <c r="AI23" s="875"/>
      <c r="AJ23" s="876">
        <f>IF(ISNUMBER(STDEV(AJ8:AJ20)),STDEV(AJ8:AJ20),"-")</f>
        <v>0</v>
      </c>
      <c r="AK23" s="878"/>
      <c r="AL23" s="870">
        <f>IF(ISNUMBER(STDEV(AL8:AL20)),STDEV(AL8:AL20),"-")</f>
        <v>157.64305672414923</v>
      </c>
      <c r="AM23" s="870"/>
      <c r="AN23" s="870">
        <f>IF(ISNUMBER(STDEV(AN8:AN20)),STDEV(AN8:AN20),"-")</f>
        <v>0</v>
      </c>
      <c r="AO23" s="876">
        <f>IF(ISNUMBER(STDEV(AO8:AO20)),STDEV(AO8:AO20),"-")</f>
        <v>0</v>
      </c>
      <c r="AP23" s="923">
        <f>IF(ISNUMBER(STDEV(AP8:AP20)),STDEV(AP8:AP20),"-")</f>
        <v>16.517589654838304</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xSmgcAEVs60QdYN80CeAy/bBjx5E6vBSPOvkXvVhIC9rA6Frjvq2epZPhZHJ+Ut95DtlwtSmJ4pdjjsN7udMIw==" saltValue="VBzk5z+CIoDTwjA5NKPO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